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C:\Users\Vanessa Contreras\Downloads\"/>
    </mc:Choice>
  </mc:AlternateContent>
  <xr:revisionPtr revIDLastSave="0" documentId="8_{5A219588-1382-4B4B-9B47-2F9C11FFAC02}" xr6:coauthVersionLast="47" xr6:coauthVersionMax="47" xr10:uidLastSave="{00000000-0000-0000-0000-000000000000}"/>
  <bookViews>
    <workbookView xWindow="-110" yWindow="-110" windowWidth="19420" windowHeight="10300" tabRatio="987" activeTab="2" xr2:uid="{9FDC8723-C0F5-42C3-A1FA-11A2DF91F4E3}"/>
  </bookViews>
  <sheets>
    <sheet name="Portada" sheetId="6" r:id="rId1"/>
    <sheet name="Instrucciones" sheetId="11" r:id="rId2"/>
    <sheet name="Metodología" sheetId="10" r:id="rId3"/>
    <sheet name="Input" sheetId="17" r:id="rId4"/>
    <sheet name="Input-Ponderador riesgo" sheetId="7" r:id="rId5"/>
    <sheet name="Costos procedimiento" sheetId="5" state="hidden" r:id="rId6"/>
    <sheet name="Input-Costos procedimientos" sheetId="12" r:id="rId7"/>
    <sheet name="Input-Costo complicaciones" sheetId="20" r:id="rId8"/>
    <sheet name="Input-Costos tecnologías" sheetId="24" r:id="rId9"/>
    <sheet name="Input-Costos tecnologías comple" sheetId="3" state="hidden" r:id="rId10"/>
    <sheet name="Combinaciones" sheetId="1" state="hidden" r:id="rId11"/>
    <sheet name="Formulario costos proced Oculta" sheetId="18" state="hidden" r:id="rId12"/>
    <sheet name="Costos directos procedimien (2)" sheetId="22" state="hidden" r:id="rId13"/>
    <sheet name="Costos directos procedimientos" sheetId="21" state="hidden" r:id="rId14"/>
    <sheet name="Formulario costos drugs" sheetId="19" state="hidden" r:id="rId15"/>
    <sheet name="Resultados Costo enfermedad" sheetId="8" r:id="rId16"/>
    <sheet name="Factores modificadores" sheetId="15" state="hidden" r:id="rId17"/>
    <sheet name="Resultado Modelo ajustado" sheetId="16" state="hidden" r:id="rId18"/>
    <sheet name="Costos otros tratamientos" sheetId="4" state="hidden" r:id="rId19"/>
    <sheet name="Conclusiones" sheetId="23" state="hidden" r:id="rId20"/>
    <sheet name="Ficha técnica" sheetId="9" r:id="rId21"/>
  </sheets>
  <definedNames>
    <definedName name="_xlnm.Print_Area" localSheetId="0">Portada!$A$1:$U$40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30" i="24" l="1"/>
  <c r="P30" i="24"/>
  <c r="O31" i="24"/>
  <c r="P31" i="24"/>
  <c r="O32" i="24"/>
  <c r="P32" i="24"/>
  <c r="O33" i="24"/>
  <c r="P33" i="24"/>
  <c r="O34" i="24"/>
  <c r="P34" i="24"/>
  <c r="O35" i="24"/>
  <c r="P35" i="24"/>
  <c r="O36" i="24"/>
  <c r="P36" i="24"/>
  <c r="O37" i="24"/>
  <c r="P37" i="24"/>
  <c r="N31" i="24"/>
  <c r="N32" i="24"/>
  <c r="N33" i="24"/>
  <c r="N34" i="24"/>
  <c r="N35" i="24"/>
  <c r="N36" i="24"/>
  <c r="N37" i="24"/>
  <c r="N30" i="24"/>
  <c r="O18" i="24"/>
  <c r="P18" i="24"/>
  <c r="O19" i="24"/>
  <c r="P19" i="24"/>
  <c r="O20" i="24"/>
  <c r="P20" i="24"/>
  <c r="O21" i="24"/>
  <c r="P21" i="24"/>
  <c r="O22" i="24"/>
  <c r="P22" i="24"/>
  <c r="O23" i="24"/>
  <c r="P23" i="24"/>
  <c r="O24" i="24"/>
  <c r="P24" i="24"/>
  <c r="O25" i="24"/>
  <c r="P25" i="24"/>
  <c r="O26" i="24"/>
  <c r="P26" i="24"/>
  <c r="O27" i="24"/>
  <c r="P27" i="24"/>
  <c r="O28" i="24"/>
  <c r="AD28" i="24" s="1"/>
  <c r="P28" i="24"/>
  <c r="N19" i="24"/>
  <c r="N20" i="24"/>
  <c r="N21" i="24"/>
  <c r="N22" i="24"/>
  <c r="N23" i="24"/>
  <c r="N24" i="24"/>
  <c r="N25" i="24"/>
  <c r="N26" i="24"/>
  <c r="N27" i="24"/>
  <c r="N28" i="24"/>
  <c r="N18" i="24"/>
  <c r="O10" i="24"/>
  <c r="P10" i="24"/>
  <c r="O11" i="24"/>
  <c r="P11" i="24"/>
  <c r="O12" i="24"/>
  <c r="P12" i="24"/>
  <c r="O13" i="24"/>
  <c r="P13" i="24"/>
  <c r="O14" i="24"/>
  <c r="P14" i="24"/>
  <c r="O15" i="24"/>
  <c r="P15" i="24"/>
  <c r="O16" i="24"/>
  <c r="P16" i="24"/>
  <c r="N11" i="24"/>
  <c r="N12" i="24"/>
  <c r="N13" i="24"/>
  <c r="N14" i="24"/>
  <c r="N15" i="24"/>
  <c r="N16" i="24"/>
  <c r="N10" i="24"/>
  <c r="S10" i="24" s="1"/>
  <c r="AE28" i="24"/>
  <c r="AC28" i="24"/>
  <c r="D36" i="17"/>
  <c r="F48" i="17"/>
  <c r="E48" i="17"/>
  <c r="D48" i="17"/>
  <c r="G48" i="17" s="1"/>
  <c r="F36" i="17"/>
  <c r="E36" i="17"/>
  <c r="F28" i="17"/>
  <c r="E28" i="17"/>
  <c r="E57" i="17" s="1"/>
  <c r="D28" i="17"/>
  <c r="G28" i="17" l="1"/>
  <c r="P29" i="24"/>
  <c r="O29" i="24"/>
  <c r="N29" i="24"/>
  <c r="Q29" i="24" s="1"/>
  <c r="G36" i="17"/>
  <c r="D57" i="17"/>
  <c r="F57" i="17"/>
  <c r="O9" i="24" l="1"/>
  <c r="P9" i="24"/>
  <c r="N9" i="24"/>
  <c r="C119" i="24"/>
  <c r="D115" i="24"/>
  <c r="E115" i="24" s="1"/>
  <c r="F115" i="24" s="1"/>
  <c r="D83" i="24"/>
  <c r="E83" i="24" s="1"/>
  <c r="F83" i="24" s="1"/>
  <c r="D51" i="24"/>
  <c r="E51" i="24" s="1"/>
  <c r="F51" i="24" s="1"/>
  <c r="U12" i="24" s="1"/>
  <c r="D114" i="24"/>
  <c r="E114" i="24" s="1"/>
  <c r="F114" i="24" s="1"/>
  <c r="D50" i="24"/>
  <c r="E50" i="24" s="1"/>
  <c r="F50" i="24" s="1"/>
  <c r="U11" i="24" s="1"/>
  <c r="D82" i="24"/>
  <c r="E82" i="24" s="1"/>
  <c r="F82" i="24" s="1"/>
  <c r="D113" i="24"/>
  <c r="E113" i="24" s="1"/>
  <c r="F113" i="24" s="1"/>
  <c r="D81" i="24"/>
  <c r="E81" i="24" s="1"/>
  <c r="F81" i="24" s="1"/>
  <c r="F104" i="24" s="1"/>
  <c r="D49" i="24"/>
  <c r="E49" i="24" s="1"/>
  <c r="F49" i="24" s="1"/>
  <c r="Q9" i="24" l="1"/>
  <c r="AD11" i="24"/>
  <c r="AC11" i="24"/>
  <c r="AE11" i="24"/>
  <c r="AC12" i="24"/>
  <c r="AE12" i="24"/>
  <c r="AD12" i="24"/>
  <c r="Y33" i="24"/>
  <c r="Z33" i="24"/>
  <c r="X33" i="24"/>
  <c r="F135" i="24"/>
  <c r="AC10" i="24"/>
  <c r="F136" i="24"/>
  <c r="F72" i="24"/>
  <c r="U10" i="24"/>
  <c r="S11" i="24"/>
  <c r="T11" i="24"/>
  <c r="S12" i="24"/>
  <c r="T12" i="24"/>
  <c r="Y11" i="24"/>
  <c r="X11" i="24"/>
  <c r="Z11" i="24"/>
  <c r="Y12" i="24"/>
  <c r="X12" i="24"/>
  <c r="Z12" i="24"/>
  <c r="F124" i="24"/>
  <c r="AD10" i="24"/>
  <c r="AE10" i="24"/>
  <c r="T10" i="24"/>
  <c r="Z10" i="24"/>
  <c r="Y10" i="24"/>
  <c r="X10" i="24"/>
  <c r="F123" i="24"/>
  <c r="F60" i="24"/>
  <c r="F58" i="24"/>
  <c r="F122" i="24"/>
  <c r="F90" i="24"/>
  <c r="F91" i="24"/>
  <c r="F92" i="24"/>
  <c r="F59" i="24"/>
  <c r="X20" i="24" l="1"/>
  <c r="Z20" i="24"/>
  <c r="Y20" i="24"/>
  <c r="X19" i="24"/>
  <c r="Z19" i="24"/>
  <c r="Y19" i="24"/>
  <c r="S33" i="24"/>
  <c r="U33" i="24"/>
  <c r="T33" i="24"/>
  <c r="S20" i="24"/>
  <c r="T20" i="24"/>
  <c r="U20" i="24"/>
  <c r="X21" i="24"/>
  <c r="Z21" i="24"/>
  <c r="Y21" i="24"/>
  <c r="AC33" i="24"/>
  <c r="AD33" i="24"/>
  <c r="AE33" i="24"/>
  <c r="AE19" i="24"/>
  <c r="AC19" i="24"/>
  <c r="AD19" i="24"/>
  <c r="AD34" i="24"/>
  <c r="AE34" i="24"/>
  <c r="AC34" i="24"/>
  <c r="U19" i="24"/>
  <c r="S19" i="24"/>
  <c r="T19" i="24"/>
  <c r="S21" i="24"/>
  <c r="U21" i="24"/>
  <c r="T21" i="24"/>
  <c r="AC20" i="24"/>
  <c r="AE20" i="24"/>
  <c r="AD20" i="24"/>
  <c r="AC21" i="24"/>
  <c r="AE21" i="24"/>
  <c r="AD21" i="24"/>
  <c r="F35" i="7"/>
  <c r="F32" i="7"/>
  <c r="E10" i="24"/>
  <c r="E9" i="24"/>
  <c r="D116" i="24"/>
  <c r="E116" i="24" s="1"/>
  <c r="F116" i="24" s="1"/>
  <c r="D84" i="24"/>
  <c r="E84" i="24" s="1"/>
  <c r="F84" i="24" s="1"/>
  <c r="D52" i="24"/>
  <c r="E52" i="24" s="1"/>
  <c r="F52" i="24" s="1"/>
  <c r="F73" i="24" s="1"/>
  <c r="T34" i="24" l="1"/>
  <c r="U34" i="24"/>
  <c r="S34" i="24"/>
  <c r="AC13" i="24"/>
  <c r="AD13" i="24"/>
  <c r="AE13" i="24"/>
  <c r="F96" i="24"/>
  <c r="F105" i="24"/>
  <c r="U13" i="24"/>
  <c r="F64" i="24"/>
  <c r="Y13" i="24"/>
  <c r="X13" i="24"/>
  <c r="Z13" i="24"/>
  <c r="S13" i="24"/>
  <c r="T13" i="24"/>
  <c r="D85" i="24"/>
  <c r="E85" i="24" s="1"/>
  <c r="F85" i="24" s="1"/>
  <c r="D53" i="24"/>
  <c r="E53" i="24" s="1"/>
  <c r="F53" i="24" s="1"/>
  <c r="D117" i="24"/>
  <c r="E117" i="24" s="1"/>
  <c r="F117" i="24" s="1"/>
  <c r="F89" i="24"/>
  <c r="X18" i="24" s="1"/>
  <c r="D118" i="24"/>
  <c r="E118" i="24" s="1"/>
  <c r="F118" i="24" s="1"/>
  <c r="D54" i="24"/>
  <c r="E54" i="24" s="1"/>
  <c r="F54" i="24" s="1"/>
  <c r="D86" i="24"/>
  <c r="E86" i="24" s="1"/>
  <c r="F86" i="24" s="1"/>
  <c r="F57" i="24"/>
  <c r="F121" i="24"/>
  <c r="AC18" i="24" s="1"/>
  <c r="G12" i="24"/>
  <c r="G14" i="24"/>
  <c r="G15" i="24"/>
  <c r="G16" i="24"/>
  <c r="G17" i="24"/>
  <c r="G18" i="24"/>
  <c r="G13" i="24"/>
  <c r="E11" i="24"/>
  <c r="D22" i="17"/>
  <c r="F22" i="17"/>
  <c r="E21" i="17"/>
  <c r="D21" i="17"/>
  <c r="X34" i="24" l="1"/>
  <c r="Y34" i="24"/>
  <c r="Z34" i="24"/>
  <c r="X25" i="24"/>
  <c r="Z25" i="24"/>
  <c r="Y25" i="24"/>
  <c r="AE14" i="24"/>
  <c r="AC14" i="24"/>
  <c r="AD14" i="24"/>
  <c r="T18" i="24"/>
  <c r="S18" i="24"/>
  <c r="AE15" i="24"/>
  <c r="AD15" i="24"/>
  <c r="AC15" i="24"/>
  <c r="U25" i="24"/>
  <c r="S25" i="24"/>
  <c r="T25" i="24"/>
  <c r="T15" i="24"/>
  <c r="U15" i="24"/>
  <c r="T14" i="24"/>
  <c r="U14" i="24"/>
  <c r="Y18" i="24"/>
  <c r="Z18" i="24"/>
  <c r="Y15" i="24"/>
  <c r="X15" i="24"/>
  <c r="Z15" i="24"/>
  <c r="AE18" i="24"/>
  <c r="AD18" i="24"/>
  <c r="F138" i="24"/>
  <c r="F139" i="24"/>
  <c r="U18" i="24"/>
  <c r="F107" i="24"/>
  <c r="Z14" i="24"/>
  <c r="Y14" i="24"/>
  <c r="X14" i="24"/>
  <c r="P17" i="24"/>
  <c r="O17" i="24"/>
  <c r="F76" i="24"/>
  <c r="S15" i="24"/>
  <c r="F129" i="24"/>
  <c r="F66" i="24"/>
  <c r="S14" i="24"/>
  <c r="N17" i="24"/>
  <c r="F98" i="24"/>
  <c r="F75" i="24"/>
  <c r="D55" i="24"/>
  <c r="E55" i="24" s="1"/>
  <c r="F55" i="24" s="1"/>
  <c r="D87" i="24"/>
  <c r="E87" i="24" s="1"/>
  <c r="F87" i="24" s="1"/>
  <c r="D119" i="24"/>
  <c r="E119" i="24" s="1"/>
  <c r="F119" i="24" s="1"/>
  <c r="F93" i="24"/>
  <c r="F103" i="24"/>
  <c r="F108" i="24"/>
  <c r="F71" i="24"/>
  <c r="F61" i="24"/>
  <c r="F97" i="24"/>
  <c r="F134" i="24"/>
  <c r="F125" i="24"/>
  <c r="F126" i="24"/>
  <c r="F133" i="24"/>
  <c r="F70" i="24"/>
  <c r="F62" i="24"/>
  <c r="F128" i="24"/>
  <c r="F65" i="24"/>
  <c r="F102" i="24"/>
  <c r="F94" i="24"/>
  <c r="Q17" i="24" l="1"/>
  <c r="Y23" i="24"/>
  <c r="Z23" i="24"/>
  <c r="X23" i="24"/>
  <c r="AD26" i="24"/>
  <c r="AE26" i="24"/>
  <c r="AC26" i="24"/>
  <c r="Z31" i="24"/>
  <c r="Y31" i="24"/>
  <c r="X31" i="24"/>
  <c r="T26" i="24"/>
  <c r="U26" i="24"/>
  <c r="S26" i="24"/>
  <c r="S37" i="24"/>
  <c r="T37" i="24"/>
  <c r="U37" i="24"/>
  <c r="U22" i="24"/>
  <c r="T22" i="24"/>
  <c r="S22" i="24"/>
  <c r="AD36" i="24"/>
  <c r="AE36" i="24"/>
  <c r="AC36" i="24"/>
  <c r="X27" i="24"/>
  <c r="Z27" i="24"/>
  <c r="Y27" i="24"/>
  <c r="U31" i="24"/>
  <c r="T31" i="24"/>
  <c r="S31" i="24"/>
  <c r="AD16" i="24"/>
  <c r="AD9" i="24" s="1"/>
  <c r="AC16" i="24"/>
  <c r="AC9" i="24" s="1"/>
  <c r="AE16" i="24"/>
  <c r="AE9" i="24" s="1"/>
  <c r="Y36" i="24"/>
  <c r="Z36" i="24"/>
  <c r="X36" i="24"/>
  <c r="AD32" i="24"/>
  <c r="AE32" i="24"/>
  <c r="AC32" i="24"/>
  <c r="Y26" i="24"/>
  <c r="Z26" i="24"/>
  <c r="X26" i="24"/>
  <c r="AD37" i="24"/>
  <c r="AC37" i="24"/>
  <c r="AE37" i="24"/>
  <c r="U32" i="24"/>
  <c r="T32" i="24"/>
  <c r="S32" i="24"/>
  <c r="Z37" i="24"/>
  <c r="X37" i="24"/>
  <c r="Y37" i="24"/>
  <c r="AD31" i="24"/>
  <c r="AC31" i="24"/>
  <c r="AE31" i="24"/>
  <c r="Z32" i="24"/>
  <c r="Y32" i="24"/>
  <c r="X32" i="24"/>
  <c r="AD22" i="24"/>
  <c r="AC22" i="24"/>
  <c r="AE22" i="24"/>
  <c r="AC25" i="24"/>
  <c r="AE25" i="24"/>
  <c r="AD25" i="24"/>
  <c r="U36" i="24"/>
  <c r="S36" i="24"/>
  <c r="T36" i="24"/>
  <c r="S23" i="24"/>
  <c r="U23" i="24"/>
  <c r="T23" i="24"/>
  <c r="AD23" i="24"/>
  <c r="AE23" i="24"/>
  <c r="AC23" i="24"/>
  <c r="Y22" i="24"/>
  <c r="X22" i="24"/>
  <c r="Z22" i="24"/>
  <c r="U27" i="24"/>
  <c r="T27" i="24"/>
  <c r="S27" i="24"/>
  <c r="U16" i="24"/>
  <c r="U9" i="24" s="1"/>
  <c r="F63" i="24"/>
  <c r="X16" i="24"/>
  <c r="X9" i="24" s="1"/>
  <c r="Z16" i="24"/>
  <c r="Z9" i="24" s="1"/>
  <c r="Y16" i="24"/>
  <c r="Y9" i="24" s="1"/>
  <c r="S16" i="24"/>
  <c r="S9" i="24" s="1"/>
  <c r="T16" i="24"/>
  <c r="T9" i="24" s="1"/>
  <c r="F69" i="24"/>
  <c r="F74" i="24"/>
  <c r="F67" i="24"/>
  <c r="F132" i="24"/>
  <c r="AC30" i="24" s="1"/>
  <c r="F127" i="24"/>
  <c r="F137" i="24"/>
  <c r="F130" i="24"/>
  <c r="F101" i="24"/>
  <c r="X30" i="24" s="1"/>
  <c r="F95" i="24"/>
  <c r="F106" i="24"/>
  <c r="F99" i="24"/>
  <c r="Z35" i="24" l="1"/>
  <c r="Y35" i="24"/>
  <c r="X35" i="24"/>
  <c r="X29" i="24" s="1"/>
  <c r="S30" i="24"/>
  <c r="T30" i="24"/>
  <c r="T29" i="24" s="1"/>
  <c r="S24" i="24"/>
  <c r="U24" i="24"/>
  <c r="T24" i="24"/>
  <c r="AE35" i="24"/>
  <c r="AC35" i="24"/>
  <c r="AD35" i="24"/>
  <c r="Y24" i="24"/>
  <c r="X24" i="24"/>
  <c r="Z24" i="24"/>
  <c r="AC24" i="24"/>
  <c r="AE24" i="24"/>
  <c r="AD24" i="24"/>
  <c r="T35" i="24"/>
  <c r="U35" i="24"/>
  <c r="S35" i="24"/>
  <c r="AE27" i="24"/>
  <c r="AC27" i="24"/>
  <c r="AD27" i="24"/>
  <c r="X28" i="24"/>
  <c r="Z28" i="24"/>
  <c r="Y28" i="24"/>
  <c r="U28" i="24"/>
  <c r="S28" i="24"/>
  <c r="S17" i="24" s="1"/>
  <c r="T28" i="24"/>
  <c r="Z30" i="24"/>
  <c r="Z29" i="24" s="1"/>
  <c r="Y30" i="24"/>
  <c r="U30" i="24"/>
  <c r="AE30" i="24"/>
  <c r="AD30" i="24"/>
  <c r="U29" i="24" l="1"/>
  <c r="AE17" i="24"/>
  <c r="AC29" i="24"/>
  <c r="Y29" i="24"/>
  <c r="AD29" i="24"/>
  <c r="S29" i="24"/>
  <c r="AE29" i="24"/>
  <c r="AC17" i="24"/>
  <c r="Y17" i="24"/>
  <c r="Z17" i="24"/>
  <c r="Z38" i="24" s="1"/>
  <c r="E60" i="8" s="1"/>
  <c r="T17" i="24"/>
  <c r="T38" i="24" s="1"/>
  <c r="U17" i="24"/>
  <c r="U38" i="24" s="1"/>
  <c r="X17" i="24"/>
  <c r="AD17" i="24"/>
  <c r="L10" i="3"/>
  <c r="AE38" i="24" l="1"/>
  <c r="Y38" i="24"/>
  <c r="D60" i="8" s="1"/>
  <c r="AC38" i="24"/>
  <c r="AD38" i="24"/>
  <c r="X38" i="24"/>
  <c r="B34" i="8"/>
  <c r="B35" i="8"/>
  <c r="B33" i="8"/>
  <c r="K41" i="3"/>
  <c r="E41" i="3" s="1"/>
  <c r="I44" i="3"/>
  <c r="C44" i="3" s="1"/>
  <c r="J44" i="3"/>
  <c r="D44" i="3" s="1"/>
  <c r="K44" i="3"/>
  <c r="E44" i="3" s="1"/>
  <c r="I45" i="3"/>
  <c r="C45" i="3" s="1"/>
  <c r="J45" i="3"/>
  <c r="K45" i="3"/>
  <c r="E45" i="3" s="1"/>
  <c r="I46" i="3"/>
  <c r="C46" i="3" s="1"/>
  <c r="J46" i="3"/>
  <c r="D46" i="3" s="1"/>
  <c r="K46" i="3"/>
  <c r="E46" i="3" s="1"/>
  <c r="I47" i="3"/>
  <c r="C47" i="3" s="1"/>
  <c r="J47" i="3"/>
  <c r="D47" i="3" s="1"/>
  <c r="K47" i="3"/>
  <c r="E47" i="3" s="1"/>
  <c r="I48" i="3"/>
  <c r="C48" i="3" s="1"/>
  <c r="J48" i="3"/>
  <c r="D48" i="3" s="1"/>
  <c r="K48" i="3"/>
  <c r="E48" i="3" s="1"/>
  <c r="I49" i="3"/>
  <c r="C49" i="3" s="1"/>
  <c r="J49" i="3"/>
  <c r="D49" i="3" s="1"/>
  <c r="K49" i="3"/>
  <c r="I50" i="3"/>
  <c r="C50" i="3" s="1"/>
  <c r="J50" i="3"/>
  <c r="D50" i="3" s="1"/>
  <c r="K50" i="3"/>
  <c r="E50" i="3" s="1"/>
  <c r="I51" i="3"/>
  <c r="C51" i="3" s="1"/>
  <c r="J51" i="3"/>
  <c r="D51" i="3" s="1"/>
  <c r="K51" i="3"/>
  <c r="E51" i="3" s="1"/>
  <c r="I52" i="3"/>
  <c r="C52" i="3" s="1"/>
  <c r="J52" i="3"/>
  <c r="D52" i="3" s="1"/>
  <c r="K52" i="3"/>
  <c r="E52" i="3" s="1"/>
  <c r="I53" i="3"/>
  <c r="C53" i="3" s="1"/>
  <c r="J53" i="3"/>
  <c r="D53" i="3" s="1"/>
  <c r="K53" i="3"/>
  <c r="E53" i="3" s="1"/>
  <c r="I54" i="3"/>
  <c r="C54" i="3" s="1"/>
  <c r="J54" i="3"/>
  <c r="D54" i="3" s="1"/>
  <c r="K54" i="3"/>
  <c r="E54" i="3" s="1"/>
  <c r="I55" i="3"/>
  <c r="C55" i="3" s="1"/>
  <c r="J55" i="3"/>
  <c r="D55" i="3" s="1"/>
  <c r="K55" i="3"/>
  <c r="E55" i="3" s="1"/>
  <c r="I56" i="3"/>
  <c r="C56" i="3" s="1"/>
  <c r="J56" i="3"/>
  <c r="D56" i="3" s="1"/>
  <c r="K56" i="3"/>
  <c r="E56" i="3" s="1"/>
  <c r="I57" i="3"/>
  <c r="C57" i="3" s="1"/>
  <c r="J57" i="3"/>
  <c r="D57" i="3" s="1"/>
  <c r="K57" i="3"/>
  <c r="E57" i="3" s="1"/>
  <c r="I58" i="3"/>
  <c r="C58" i="3" s="1"/>
  <c r="J58" i="3"/>
  <c r="D58" i="3" s="1"/>
  <c r="K58" i="3"/>
  <c r="E58" i="3" s="1"/>
  <c r="I59" i="3"/>
  <c r="C59" i="3" s="1"/>
  <c r="J59" i="3"/>
  <c r="D59" i="3" s="1"/>
  <c r="K59" i="3"/>
  <c r="E59" i="3" s="1"/>
  <c r="I60" i="3"/>
  <c r="C60" i="3" s="1"/>
  <c r="J60" i="3"/>
  <c r="D60" i="3" s="1"/>
  <c r="K60" i="3"/>
  <c r="E60" i="3" s="1"/>
  <c r="I61" i="3"/>
  <c r="C61" i="3" s="1"/>
  <c r="J61" i="3"/>
  <c r="D61" i="3" s="1"/>
  <c r="K61" i="3"/>
  <c r="E61" i="3" s="1"/>
  <c r="I62" i="3"/>
  <c r="C62" i="3" s="1"/>
  <c r="J62" i="3"/>
  <c r="D62" i="3" s="1"/>
  <c r="K62" i="3"/>
  <c r="E62" i="3" s="1"/>
  <c r="I63" i="3"/>
  <c r="C63" i="3" s="1"/>
  <c r="J63" i="3"/>
  <c r="D63" i="3" s="1"/>
  <c r="K63" i="3"/>
  <c r="E63" i="3" s="1"/>
  <c r="I64" i="3"/>
  <c r="J64" i="3"/>
  <c r="D64" i="3" s="1"/>
  <c r="K64" i="3"/>
  <c r="E64" i="3" s="1"/>
  <c r="I65" i="3"/>
  <c r="C65" i="3" s="1"/>
  <c r="J65" i="3"/>
  <c r="D65" i="3" s="1"/>
  <c r="K65" i="3"/>
  <c r="E65" i="3" s="1"/>
  <c r="I66" i="3"/>
  <c r="C66" i="3" s="1"/>
  <c r="J66" i="3"/>
  <c r="D66" i="3" s="1"/>
  <c r="K66" i="3"/>
  <c r="E66" i="3" s="1"/>
  <c r="I67" i="3"/>
  <c r="C67" i="3" s="1"/>
  <c r="J67" i="3"/>
  <c r="D67" i="3" s="1"/>
  <c r="K67" i="3"/>
  <c r="E67" i="3" s="1"/>
  <c r="I68" i="3"/>
  <c r="C68" i="3" s="1"/>
  <c r="J68" i="3"/>
  <c r="D68" i="3" s="1"/>
  <c r="K68" i="3"/>
  <c r="E68" i="3" s="1"/>
  <c r="I69" i="3"/>
  <c r="C69" i="3" s="1"/>
  <c r="J69" i="3"/>
  <c r="D69" i="3" s="1"/>
  <c r="K69" i="3"/>
  <c r="E69" i="3" s="1"/>
  <c r="J43" i="3"/>
  <c r="D43" i="3" s="1"/>
  <c r="K43" i="3"/>
  <c r="E43" i="3" s="1"/>
  <c r="I43" i="3"/>
  <c r="E49" i="3"/>
  <c r="I22" i="3"/>
  <c r="J22" i="3"/>
  <c r="I23" i="3"/>
  <c r="J23" i="3"/>
  <c r="K23" i="3"/>
  <c r="I24" i="3"/>
  <c r="J24" i="3"/>
  <c r="I25" i="3"/>
  <c r="J25" i="3"/>
  <c r="I26" i="3"/>
  <c r="J26" i="3"/>
  <c r="I27" i="3"/>
  <c r="J27" i="3"/>
  <c r="K27" i="3"/>
  <c r="I29" i="3"/>
  <c r="C29" i="3" s="1"/>
  <c r="J29" i="3"/>
  <c r="D29" i="3" s="1"/>
  <c r="K29" i="3"/>
  <c r="E29" i="3" s="1"/>
  <c r="I30" i="3"/>
  <c r="C30" i="3" s="1"/>
  <c r="J30" i="3"/>
  <c r="D30" i="3" s="1"/>
  <c r="K30" i="3"/>
  <c r="E30" i="3" s="1"/>
  <c r="I31" i="3"/>
  <c r="C31" i="3" s="1"/>
  <c r="J31" i="3"/>
  <c r="D31" i="3" s="1"/>
  <c r="K31" i="3"/>
  <c r="E31" i="3" s="1"/>
  <c r="I32" i="3"/>
  <c r="C32" i="3" s="1"/>
  <c r="J32" i="3"/>
  <c r="D32" i="3" s="1"/>
  <c r="K32" i="3"/>
  <c r="E32" i="3" s="1"/>
  <c r="I33" i="3"/>
  <c r="C33" i="3" s="1"/>
  <c r="J33" i="3"/>
  <c r="D33" i="3" s="1"/>
  <c r="K33" i="3"/>
  <c r="E33" i="3" s="1"/>
  <c r="I34" i="3"/>
  <c r="C34" i="3" s="1"/>
  <c r="J34" i="3"/>
  <c r="D34" i="3" s="1"/>
  <c r="K34" i="3"/>
  <c r="E34" i="3" s="1"/>
  <c r="I35" i="3"/>
  <c r="C35" i="3" s="1"/>
  <c r="J35" i="3"/>
  <c r="D35" i="3" s="1"/>
  <c r="K35" i="3"/>
  <c r="E35" i="3" s="1"/>
  <c r="I36" i="3"/>
  <c r="C36" i="3" s="1"/>
  <c r="J36" i="3"/>
  <c r="D36" i="3" s="1"/>
  <c r="K36" i="3"/>
  <c r="E36" i="3" s="1"/>
  <c r="I37" i="3"/>
  <c r="C37" i="3" s="1"/>
  <c r="J37" i="3"/>
  <c r="D37" i="3" s="1"/>
  <c r="K37" i="3"/>
  <c r="E37" i="3" s="1"/>
  <c r="I38" i="3"/>
  <c r="C38" i="3" s="1"/>
  <c r="J38" i="3"/>
  <c r="D38" i="3" s="1"/>
  <c r="K38" i="3"/>
  <c r="E38" i="3" s="1"/>
  <c r="I40" i="3"/>
  <c r="C40" i="3" s="1"/>
  <c r="J40" i="3"/>
  <c r="D40" i="3" s="1"/>
  <c r="K40" i="3"/>
  <c r="E40" i="3" s="1"/>
  <c r="I41" i="3"/>
  <c r="C41" i="3" s="1"/>
  <c r="J41" i="3"/>
  <c r="D41" i="3" s="1"/>
  <c r="J21" i="3"/>
  <c r="K21" i="3"/>
  <c r="I21" i="3"/>
  <c r="J10" i="3"/>
  <c r="K10" i="3"/>
  <c r="J11" i="3"/>
  <c r="K11" i="3"/>
  <c r="J12" i="3"/>
  <c r="K12" i="3"/>
  <c r="J13" i="3"/>
  <c r="K13" i="3"/>
  <c r="J14" i="3"/>
  <c r="K14" i="3"/>
  <c r="J15" i="3"/>
  <c r="K15" i="3"/>
  <c r="J16" i="3"/>
  <c r="K16" i="3"/>
  <c r="J17" i="3"/>
  <c r="D17" i="3" s="1"/>
  <c r="K17" i="3"/>
  <c r="E17" i="3" s="1"/>
  <c r="J18" i="3"/>
  <c r="D18" i="3" s="1"/>
  <c r="K18" i="3"/>
  <c r="E18" i="3" s="1"/>
  <c r="I11" i="3"/>
  <c r="I12" i="3"/>
  <c r="I13" i="3"/>
  <c r="I14" i="3"/>
  <c r="I15" i="3"/>
  <c r="I16" i="3"/>
  <c r="I17" i="3"/>
  <c r="C17" i="3" s="1"/>
  <c r="I18" i="3"/>
  <c r="C18" i="3" s="1"/>
  <c r="I10" i="3"/>
  <c r="C10" i="3" s="1"/>
  <c r="K26" i="3"/>
  <c r="K25" i="3"/>
  <c r="K24" i="3"/>
  <c r="K22" i="3"/>
  <c r="G48" i="20"/>
  <c r="G47" i="20"/>
  <c r="G45" i="20"/>
  <c r="G44" i="20"/>
  <c r="G43" i="20"/>
  <c r="F48" i="20"/>
  <c r="F47" i="20"/>
  <c r="F45" i="20"/>
  <c r="F44" i="20"/>
  <c r="F43" i="20"/>
  <c r="E48" i="20"/>
  <c r="E47" i="20"/>
  <c r="E45" i="20"/>
  <c r="E44" i="20"/>
  <c r="E43" i="20"/>
  <c r="D38" i="20"/>
  <c r="C12" i="20"/>
  <c r="D23" i="17" s="1"/>
  <c r="E12" i="20"/>
  <c r="F23" i="17" s="1"/>
  <c r="C29" i="7"/>
  <c r="D9" i="17"/>
  <c r="C9" i="17"/>
  <c r="AF38" i="24" l="1"/>
  <c r="AA38" i="24"/>
  <c r="C60" i="8"/>
  <c r="F60" i="8" s="1"/>
  <c r="K9" i="3"/>
  <c r="J9" i="3"/>
  <c r="E42" i="3"/>
  <c r="I9" i="3"/>
  <c r="K42" i="3"/>
  <c r="J42" i="3"/>
  <c r="D45" i="3"/>
  <c r="D42" i="3" s="1"/>
  <c r="I42" i="3"/>
  <c r="C43" i="3"/>
  <c r="C64" i="3"/>
  <c r="D22" i="20"/>
  <c r="E22" i="20"/>
  <c r="F22" i="20"/>
  <c r="L21" i="20"/>
  <c r="D21" i="20" s="1"/>
  <c r="E10" i="20"/>
  <c r="F21" i="17" s="1"/>
  <c r="L76" i="12"/>
  <c r="L75" i="12"/>
  <c r="D55" i="20"/>
  <c r="D52" i="20"/>
  <c r="D11" i="20"/>
  <c r="E22" i="17" s="1"/>
  <c r="L22" i="17" l="1"/>
  <c r="E34" i="8"/>
  <c r="K22" i="17"/>
  <c r="D34" i="8"/>
  <c r="J22" i="17"/>
  <c r="C34" i="8"/>
  <c r="J21" i="17"/>
  <c r="C33" i="8"/>
  <c r="K70" i="3"/>
  <c r="I70" i="3"/>
  <c r="J70" i="3"/>
  <c r="C42" i="3"/>
  <c r="D12" i="20"/>
  <c r="E23" i="17" s="1"/>
  <c r="F34" i="8" l="1"/>
  <c r="F21" i="20"/>
  <c r="E21" i="20"/>
  <c r="I55" i="20"/>
  <c r="D54" i="20"/>
  <c r="I54" i="20" s="1"/>
  <c r="D53" i="20"/>
  <c r="H53" i="20" s="1"/>
  <c r="D50" i="20"/>
  <c r="D41" i="20"/>
  <c r="H41" i="20" s="1"/>
  <c r="D40" i="20"/>
  <c r="H40" i="20" s="1"/>
  <c r="D39" i="20"/>
  <c r="I39" i="20" s="1"/>
  <c r="D37" i="20"/>
  <c r="H37" i="20" s="1"/>
  <c r="L73" i="12"/>
  <c r="L72" i="12"/>
  <c r="L71" i="12"/>
  <c r="L70" i="12"/>
  <c r="L35" i="12"/>
  <c r="L38" i="12"/>
  <c r="L37" i="12"/>
  <c r="L36" i="12"/>
  <c r="J48" i="20"/>
  <c r="H48" i="20"/>
  <c r="J47" i="20"/>
  <c r="I47" i="20"/>
  <c r="H47" i="20"/>
  <c r="J45" i="20"/>
  <c r="J44" i="20"/>
  <c r="J43" i="20"/>
  <c r="I45" i="20"/>
  <c r="I44" i="20"/>
  <c r="I43" i="20"/>
  <c r="H45" i="20"/>
  <c r="H44" i="20"/>
  <c r="H43" i="20"/>
  <c r="I32" i="20"/>
  <c r="J32" i="20"/>
  <c r="I33" i="20"/>
  <c r="J33" i="20"/>
  <c r="I34" i="20"/>
  <c r="J34" i="20"/>
  <c r="I35" i="20"/>
  <c r="J35" i="20"/>
  <c r="I36" i="20"/>
  <c r="J36" i="20"/>
  <c r="I38" i="20"/>
  <c r="J38" i="20"/>
  <c r="I42" i="20"/>
  <c r="J42" i="20"/>
  <c r="I46" i="20"/>
  <c r="J46" i="20"/>
  <c r="I48" i="20"/>
  <c r="J31" i="20"/>
  <c r="I31" i="20"/>
  <c r="H32" i="20"/>
  <c r="H33" i="20"/>
  <c r="H34" i="20"/>
  <c r="H35" i="20"/>
  <c r="H36" i="20"/>
  <c r="H38" i="20"/>
  <c r="H42" i="20"/>
  <c r="H46" i="20"/>
  <c r="H31" i="20"/>
  <c r="K21" i="17" l="1"/>
  <c r="D33" i="8"/>
  <c r="L21" i="17"/>
  <c r="E33" i="8"/>
  <c r="J41" i="20"/>
  <c r="I41" i="20"/>
  <c r="H49" i="20"/>
  <c r="D51" i="20"/>
  <c r="H51" i="20" s="1"/>
  <c r="I52" i="20"/>
  <c r="J49" i="20"/>
  <c r="I49" i="20"/>
  <c r="J54" i="20"/>
  <c r="J40" i="20"/>
  <c r="H54" i="20"/>
  <c r="J37" i="20"/>
  <c r="J50" i="20"/>
  <c r="I50" i="20"/>
  <c r="I37" i="20"/>
  <c r="H55" i="20"/>
  <c r="J55" i="20"/>
  <c r="I53" i="20"/>
  <c r="J53" i="20"/>
  <c r="H50" i="20"/>
  <c r="I40" i="20"/>
  <c r="J39" i="20"/>
  <c r="H39" i="20"/>
  <c r="F33" i="8" l="1"/>
  <c r="J56" i="20"/>
  <c r="F23" i="20" s="1"/>
  <c r="L23" i="17" s="1"/>
  <c r="I51" i="20"/>
  <c r="J52" i="20"/>
  <c r="J51" i="20"/>
  <c r="H52" i="20"/>
  <c r="H56" i="20" s="1"/>
  <c r="D23" i="20" s="1"/>
  <c r="J23" i="17" l="1"/>
  <c r="J24" i="17" s="1"/>
  <c r="C35" i="8"/>
  <c r="D24" i="20"/>
  <c r="C36" i="8" s="1"/>
  <c r="F24" i="20"/>
  <c r="E36" i="8" s="1"/>
  <c r="E35" i="8"/>
  <c r="I56" i="20"/>
  <c r="E23" i="20" s="1"/>
  <c r="L24" i="17"/>
  <c r="F43" i="12"/>
  <c r="F8" i="12"/>
  <c r="C10" i="12"/>
  <c r="D10" i="12"/>
  <c r="D11" i="12"/>
  <c r="D12" i="12"/>
  <c r="D13" i="12"/>
  <c r="D14" i="12"/>
  <c r="D15" i="12"/>
  <c r="D16" i="12"/>
  <c r="D17" i="12"/>
  <c r="D18" i="12"/>
  <c r="D19" i="12"/>
  <c r="D20" i="12"/>
  <c r="D21" i="12"/>
  <c r="D22" i="12"/>
  <c r="D23" i="12"/>
  <c r="D24" i="12"/>
  <c r="D25" i="12"/>
  <c r="D26" i="12"/>
  <c r="D27" i="12"/>
  <c r="D28" i="12"/>
  <c r="D30" i="12"/>
  <c r="D31" i="12"/>
  <c r="D32" i="12"/>
  <c r="D34" i="12"/>
  <c r="D35" i="12"/>
  <c r="D36" i="12"/>
  <c r="D37" i="12"/>
  <c r="D38" i="12"/>
  <c r="D45" i="12"/>
  <c r="D46" i="12"/>
  <c r="D47" i="12"/>
  <c r="D48" i="12"/>
  <c r="D49" i="12"/>
  <c r="D50" i="12"/>
  <c r="D51" i="12"/>
  <c r="D52" i="12"/>
  <c r="D53" i="12"/>
  <c r="D54" i="12"/>
  <c r="D55" i="12"/>
  <c r="D56" i="12"/>
  <c r="D57" i="12"/>
  <c r="D58" i="12"/>
  <c r="D59" i="12"/>
  <c r="D60" i="12"/>
  <c r="D61" i="12"/>
  <c r="D62" i="12"/>
  <c r="D63" i="12"/>
  <c r="D65" i="12"/>
  <c r="D66" i="12"/>
  <c r="D67" i="12"/>
  <c r="D69" i="12"/>
  <c r="D70" i="12"/>
  <c r="D71" i="12"/>
  <c r="D72" i="12"/>
  <c r="D73" i="12"/>
  <c r="D75" i="12"/>
  <c r="D76" i="12"/>
  <c r="E29" i="7"/>
  <c r="D29" i="7"/>
  <c r="E21" i="3"/>
  <c r="D22" i="3"/>
  <c r="E22" i="3"/>
  <c r="D23" i="3"/>
  <c r="E23" i="3"/>
  <c r="D24" i="3"/>
  <c r="E24" i="3"/>
  <c r="D25" i="3"/>
  <c r="E25" i="3"/>
  <c r="D26" i="3"/>
  <c r="E26" i="3"/>
  <c r="D27" i="3"/>
  <c r="E27" i="3"/>
  <c r="C22" i="3"/>
  <c r="C23" i="3"/>
  <c r="C24" i="3"/>
  <c r="C25" i="3"/>
  <c r="C26" i="3"/>
  <c r="C27" i="3"/>
  <c r="C21" i="3"/>
  <c r="C11" i="3"/>
  <c r="D11" i="3"/>
  <c r="E11" i="3"/>
  <c r="C12" i="3"/>
  <c r="D12" i="3"/>
  <c r="E12" i="3"/>
  <c r="C13" i="3"/>
  <c r="D13" i="3"/>
  <c r="E13" i="3"/>
  <c r="C14" i="3"/>
  <c r="D14" i="3"/>
  <c r="E14" i="3"/>
  <c r="C15" i="3"/>
  <c r="D15" i="3"/>
  <c r="E15" i="3"/>
  <c r="C16" i="3"/>
  <c r="D16" i="3"/>
  <c r="E16" i="3"/>
  <c r="E10" i="3"/>
  <c r="D10" i="7"/>
  <c r="C10" i="7"/>
  <c r="C7" i="7"/>
  <c r="C7" i="8" s="1"/>
  <c r="G50" i="7"/>
  <c r="Q16" i="19"/>
  <c r="Q17" i="19"/>
  <c r="Q18" i="19"/>
  <c r="Q19" i="19"/>
  <c r="Q20" i="19"/>
  <c r="Q21" i="19"/>
  <c r="Q22" i="19"/>
  <c r="Q23" i="19"/>
  <c r="Q24" i="19"/>
  <c r="Q25" i="19"/>
  <c r="Q26" i="19"/>
  <c r="Q27" i="19"/>
  <c r="Q28" i="19"/>
  <c r="Q29" i="19"/>
  <c r="Q30" i="19"/>
  <c r="Q31" i="19"/>
  <c r="Q32" i="19"/>
  <c r="Q33" i="19"/>
  <c r="Q34" i="19"/>
  <c r="Q35" i="19"/>
  <c r="Q36" i="19"/>
  <c r="Q37" i="19"/>
  <c r="Q38" i="19"/>
  <c r="Q39" i="19"/>
  <c r="Q40" i="19"/>
  <c r="Q41" i="19"/>
  <c r="Q15" i="19"/>
  <c r="F42" i="19"/>
  <c r="E42" i="19"/>
  <c r="D42" i="19"/>
  <c r="C42" i="19"/>
  <c r="U41" i="19"/>
  <c r="T41" i="19"/>
  <c r="S41" i="19"/>
  <c r="R41" i="19"/>
  <c r="U40" i="19"/>
  <c r="T40" i="19"/>
  <c r="S40" i="19"/>
  <c r="R40" i="19"/>
  <c r="U39" i="19"/>
  <c r="T39" i="19"/>
  <c r="S39" i="19"/>
  <c r="R39" i="19"/>
  <c r="U38" i="19"/>
  <c r="T38" i="19"/>
  <c r="S38" i="19"/>
  <c r="R38" i="19"/>
  <c r="U37" i="19"/>
  <c r="T37" i="19"/>
  <c r="S37" i="19"/>
  <c r="R37" i="19"/>
  <c r="U36" i="19"/>
  <c r="T36" i="19"/>
  <c r="S36" i="19"/>
  <c r="R36" i="19"/>
  <c r="U35" i="19"/>
  <c r="T35" i="19"/>
  <c r="S35" i="19"/>
  <c r="R35" i="19"/>
  <c r="U34" i="19"/>
  <c r="T34" i="19"/>
  <c r="S34" i="19"/>
  <c r="R34" i="19"/>
  <c r="U33" i="19"/>
  <c r="T33" i="19"/>
  <c r="S33" i="19"/>
  <c r="R33" i="19"/>
  <c r="U32" i="19"/>
  <c r="T32" i="19"/>
  <c r="S32" i="19"/>
  <c r="R32" i="19"/>
  <c r="U31" i="19"/>
  <c r="T31" i="19"/>
  <c r="S31" i="19"/>
  <c r="R31" i="19"/>
  <c r="U30" i="19"/>
  <c r="T30" i="19"/>
  <c r="S30" i="19"/>
  <c r="R30" i="19"/>
  <c r="U29" i="19"/>
  <c r="T29" i="19"/>
  <c r="S29" i="19"/>
  <c r="R29" i="19"/>
  <c r="U28" i="19"/>
  <c r="T28" i="19"/>
  <c r="S28" i="19"/>
  <c r="R28" i="19"/>
  <c r="U27" i="19"/>
  <c r="T27" i="19"/>
  <c r="S27" i="19"/>
  <c r="R27" i="19"/>
  <c r="U26" i="19"/>
  <c r="T26" i="19"/>
  <c r="S26" i="19"/>
  <c r="R26" i="19"/>
  <c r="U25" i="19"/>
  <c r="T25" i="19"/>
  <c r="S25" i="19"/>
  <c r="R25" i="19"/>
  <c r="U24" i="19"/>
  <c r="T24" i="19"/>
  <c r="S24" i="19"/>
  <c r="R24" i="19"/>
  <c r="U23" i="19"/>
  <c r="T23" i="19"/>
  <c r="S23" i="19"/>
  <c r="R23" i="19"/>
  <c r="U22" i="19"/>
  <c r="T22" i="19"/>
  <c r="S22" i="19"/>
  <c r="R22" i="19"/>
  <c r="U21" i="19"/>
  <c r="T21" i="19"/>
  <c r="S21" i="19"/>
  <c r="R21" i="19"/>
  <c r="U20" i="19"/>
  <c r="T20" i="19"/>
  <c r="S20" i="19"/>
  <c r="R20" i="19"/>
  <c r="U19" i="19"/>
  <c r="T19" i="19"/>
  <c r="S19" i="19"/>
  <c r="R19" i="19"/>
  <c r="U18" i="19"/>
  <c r="T18" i="19"/>
  <c r="S18" i="19"/>
  <c r="R18" i="19"/>
  <c r="U17" i="19"/>
  <c r="T17" i="19"/>
  <c r="S17" i="19"/>
  <c r="R17" i="19"/>
  <c r="U16" i="19"/>
  <c r="T16" i="19"/>
  <c r="S16" i="19"/>
  <c r="R16" i="19"/>
  <c r="U15" i="19"/>
  <c r="U42" i="19" s="1"/>
  <c r="T15" i="19"/>
  <c r="T42" i="19" s="1"/>
  <c r="S15" i="19"/>
  <c r="S42" i="19" s="1"/>
  <c r="R15" i="19"/>
  <c r="R42" i="19" s="1"/>
  <c r="C45" i="12"/>
  <c r="Q54" i="18"/>
  <c r="Q55" i="18"/>
  <c r="Q56" i="18"/>
  <c r="Q57" i="18"/>
  <c r="Q58" i="18"/>
  <c r="Q59" i="18"/>
  <c r="Q60" i="18"/>
  <c r="Q61" i="18"/>
  <c r="Q62" i="18"/>
  <c r="Q63" i="18"/>
  <c r="Q64" i="18"/>
  <c r="Q65" i="18"/>
  <c r="Q66" i="18"/>
  <c r="Q67" i="18"/>
  <c r="Q68" i="18"/>
  <c r="Q69" i="18"/>
  <c r="Q70" i="18"/>
  <c r="Q71" i="18"/>
  <c r="Q72" i="18"/>
  <c r="Q73" i="18"/>
  <c r="Q74" i="18"/>
  <c r="Q75" i="18"/>
  <c r="Q76" i="18"/>
  <c r="Q77" i="18"/>
  <c r="Q78" i="18"/>
  <c r="Q79" i="18"/>
  <c r="Q80" i="18"/>
  <c r="Q81" i="18"/>
  <c r="Q82" i="18"/>
  <c r="Q83" i="18"/>
  <c r="Q84" i="18"/>
  <c r="Q53" i="18"/>
  <c r="G84" i="18"/>
  <c r="F84" i="18"/>
  <c r="E84" i="18"/>
  <c r="D84" i="18"/>
  <c r="G83" i="18"/>
  <c r="F83" i="18"/>
  <c r="E83" i="18"/>
  <c r="D83" i="18"/>
  <c r="G82" i="18"/>
  <c r="F82" i="18"/>
  <c r="E82" i="18"/>
  <c r="D82" i="18"/>
  <c r="G81" i="18"/>
  <c r="F81" i="18"/>
  <c r="E81" i="18"/>
  <c r="D81" i="18"/>
  <c r="G80" i="18"/>
  <c r="F80" i="18"/>
  <c r="E80" i="18"/>
  <c r="D80" i="18"/>
  <c r="G79" i="18"/>
  <c r="F79" i="18"/>
  <c r="E79" i="18"/>
  <c r="D79" i="18"/>
  <c r="G78" i="18"/>
  <c r="F78" i="18"/>
  <c r="E78" i="18"/>
  <c r="D78" i="18"/>
  <c r="G77" i="18"/>
  <c r="F77" i="18"/>
  <c r="E77" i="18"/>
  <c r="D77" i="18"/>
  <c r="G76" i="18"/>
  <c r="F76" i="18"/>
  <c r="E76" i="18"/>
  <c r="D76" i="18"/>
  <c r="G75" i="18"/>
  <c r="F75" i="18"/>
  <c r="E75" i="18"/>
  <c r="D75" i="18"/>
  <c r="G74" i="18"/>
  <c r="F74" i="18"/>
  <c r="E74" i="18"/>
  <c r="D74" i="18"/>
  <c r="G73" i="18"/>
  <c r="F73" i="18"/>
  <c r="E73" i="18"/>
  <c r="D73" i="18"/>
  <c r="G72" i="18"/>
  <c r="F72" i="18"/>
  <c r="E72" i="18"/>
  <c r="D72" i="18"/>
  <c r="G71" i="18"/>
  <c r="F71" i="18"/>
  <c r="E71" i="18"/>
  <c r="D71" i="18"/>
  <c r="G70" i="18"/>
  <c r="F70" i="18"/>
  <c r="E70" i="18"/>
  <c r="D70" i="18"/>
  <c r="G69" i="18"/>
  <c r="F69" i="18"/>
  <c r="E69" i="18"/>
  <c r="D69" i="18"/>
  <c r="G68" i="18"/>
  <c r="F68" i="18"/>
  <c r="E68" i="18"/>
  <c r="D68" i="18"/>
  <c r="G67" i="18"/>
  <c r="F67" i="18"/>
  <c r="E67" i="18"/>
  <c r="D67" i="18"/>
  <c r="G66" i="18"/>
  <c r="F66" i="18"/>
  <c r="E66" i="18"/>
  <c r="D66" i="18"/>
  <c r="G65" i="18"/>
  <c r="F65" i="18"/>
  <c r="E65" i="18"/>
  <c r="D65" i="18"/>
  <c r="G64" i="18"/>
  <c r="F64" i="18"/>
  <c r="E64" i="18"/>
  <c r="D64" i="18"/>
  <c r="G63" i="18"/>
  <c r="F63" i="18"/>
  <c r="E63" i="18"/>
  <c r="D63" i="18"/>
  <c r="G62" i="18"/>
  <c r="F62" i="18"/>
  <c r="E62" i="18"/>
  <c r="D62" i="18"/>
  <c r="G61" i="18"/>
  <c r="F61" i="18"/>
  <c r="E61" i="18"/>
  <c r="D61" i="18"/>
  <c r="G60" i="18"/>
  <c r="F60" i="18"/>
  <c r="E60" i="18"/>
  <c r="D60" i="18"/>
  <c r="G59" i="18"/>
  <c r="F59" i="18"/>
  <c r="E59" i="18"/>
  <c r="D59" i="18"/>
  <c r="G58" i="18"/>
  <c r="F58" i="18"/>
  <c r="E58" i="18"/>
  <c r="D58" i="18"/>
  <c r="G57" i="18"/>
  <c r="F57" i="18"/>
  <c r="E57" i="18"/>
  <c r="D57" i="18"/>
  <c r="G56" i="18"/>
  <c r="F56" i="18"/>
  <c r="E56" i="18"/>
  <c r="D56" i="18"/>
  <c r="G55" i="18"/>
  <c r="F55" i="18"/>
  <c r="E55" i="18"/>
  <c r="D55" i="18"/>
  <c r="G54" i="18"/>
  <c r="F54" i="18"/>
  <c r="E54" i="18"/>
  <c r="D54" i="18"/>
  <c r="G53" i="18"/>
  <c r="G88" i="18" s="1"/>
  <c r="F53" i="18"/>
  <c r="F88" i="18" s="1"/>
  <c r="E53" i="18"/>
  <c r="E88" i="18" s="1"/>
  <c r="D53" i="18"/>
  <c r="D88" i="18" s="1"/>
  <c r="Q39" i="18"/>
  <c r="G39" i="18"/>
  <c r="F39" i="18"/>
  <c r="E39" i="18"/>
  <c r="D39" i="18"/>
  <c r="Q38" i="18"/>
  <c r="G38" i="18"/>
  <c r="F38" i="18"/>
  <c r="E38" i="18"/>
  <c r="D38" i="18"/>
  <c r="Q37" i="18"/>
  <c r="G37" i="18"/>
  <c r="F37" i="18"/>
  <c r="E37" i="18"/>
  <c r="D37" i="18"/>
  <c r="Q36" i="18"/>
  <c r="G36" i="18"/>
  <c r="F36" i="18"/>
  <c r="E36" i="18"/>
  <c r="D36" i="18"/>
  <c r="Q35" i="18"/>
  <c r="G35" i="18"/>
  <c r="F35" i="18"/>
  <c r="E35" i="18"/>
  <c r="D35" i="18"/>
  <c r="Q34" i="18"/>
  <c r="G34" i="18"/>
  <c r="F34" i="18"/>
  <c r="E34" i="18"/>
  <c r="D34" i="18"/>
  <c r="Q33" i="18"/>
  <c r="G33" i="18"/>
  <c r="F33" i="18"/>
  <c r="E33" i="18"/>
  <c r="D33" i="18"/>
  <c r="Q32" i="18"/>
  <c r="G32" i="18"/>
  <c r="F32" i="18"/>
  <c r="E32" i="18"/>
  <c r="D32" i="18"/>
  <c r="Q31" i="18"/>
  <c r="G31" i="18"/>
  <c r="F31" i="18"/>
  <c r="E31" i="18"/>
  <c r="D31" i="18"/>
  <c r="Q30" i="18"/>
  <c r="G30" i="18"/>
  <c r="F30" i="18"/>
  <c r="E30" i="18"/>
  <c r="D30" i="18"/>
  <c r="Q29" i="18"/>
  <c r="G29" i="18"/>
  <c r="F29" i="18"/>
  <c r="E29" i="18"/>
  <c r="D29" i="18"/>
  <c r="Q28" i="18"/>
  <c r="G28" i="18"/>
  <c r="F28" i="18"/>
  <c r="E28" i="18"/>
  <c r="D28" i="18"/>
  <c r="Q27" i="18"/>
  <c r="G27" i="18"/>
  <c r="F27" i="18"/>
  <c r="E27" i="18"/>
  <c r="D27" i="18"/>
  <c r="Q26" i="18"/>
  <c r="G26" i="18"/>
  <c r="F26" i="18"/>
  <c r="E26" i="18"/>
  <c r="D26" i="18"/>
  <c r="Q25" i="18"/>
  <c r="G25" i="18"/>
  <c r="F25" i="18"/>
  <c r="E25" i="18"/>
  <c r="D25" i="18"/>
  <c r="Q24" i="18"/>
  <c r="G24" i="18"/>
  <c r="F24" i="18"/>
  <c r="E24" i="18"/>
  <c r="D24" i="18"/>
  <c r="Q23" i="18"/>
  <c r="G23" i="18"/>
  <c r="F23" i="18"/>
  <c r="E23" i="18"/>
  <c r="D23" i="18"/>
  <c r="Q22" i="18"/>
  <c r="G22" i="18"/>
  <c r="F22" i="18"/>
  <c r="E22" i="18"/>
  <c r="D22" i="18"/>
  <c r="Q21" i="18"/>
  <c r="G21" i="18"/>
  <c r="F21" i="18"/>
  <c r="E21" i="18"/>
  <c r="D21" i="18"/>
  <c r="Q20" i="18"/>
  <c r="G20" i="18"/>
  <c r="F20" i="18"/>
  <c r="E20" i="18"/>
  <c r="D20" i="18"/>
  <c r="Q19" i="18"/>
  <c r="G19" i="18"/>
  <c r="F19" i="18"/>
  <c r="E19" i="18"/>
  <c r="D19" i="18"/>
  <c r="Q18" i="18"/>
  <c r="G18" i="18"/>
  <c r="F18" i="18"/>
  <c r="E18" i="18"/>
  <c r="D18" i="18"/>
  <c r="Q17" i="18"/>
  <c r="G17" i="18"/>
  <c r="F17" i="18"/>
  <c r="E17" i="18"/>
  <c r="D17" i="18"/>
  <c r="Q16" i="18"/>
  <c r="G16" i="18"/>
  <c r="F16" i="18"/>
  <c r="E16" i="18"/>
  <c r="D16" i="18"/>
  <c r="D43" i="18" s="1"/>
  <c r="Q15" i="18"/>
  <c r="G15" i="18"/>
  <c r="F15" i="18"/>
  <c r="E15" i="18"/>
  <c r="D15" i="18"/>
  <c r="Q14" i="18"/>
  <c r="G14" i="18"/>
  <c r="F14" i="18"/>
  <c r="E14" i="18"/>
  <c r="D14" i="18"/>
  <c r="Q13" i="18"/>
  <c r="G13" i="18"/>
  <c r="F13" i="18"/>
  <c r="E13" i="18"/>
  <c r="D13" i="18"/>
  <c r="Q12" i="18"/>
  <c r="G12" i="18"/>
  <c r="F12" i="18"/>
  <c r="E12" i="18"/>
  <c r="D12" i="18"/>
  <c r="Q11" i="18"/>
  <c r="G11" i="18"/>
  <c r="F11" i="18"/>
  <c r="E11" i="18"/>
  <c r="E43" i="18" s="1"/>
  <c r="D11" i="18"/>
  <c r="Q10" i="18"/>
  <c r="G10" i="18"/>
  <c r="G43" i="18" s="1"/>
  <c r="F10" i="18"/>
  <c r="F43" i="18" s="1"/>
  <c r="E10" i="18"/>
  <c r="D10" i="18"/>
  <c r="H8" i="18"/>
  <c r="K23" i="17" l="1"/>
  <c r="K24" i="17" s="1"/>
  <c r="D35" i="8"/>
  <c r="F35" i="8" s="1"/>
  <c r="E24" i="20"/>
  <c r="D36" i="8" s="1"/>
  <c r="F36" i="8" s="1"/>
  <c r="E37" i="8" s="1"/>
  <c r="E13" i="7"/>
  <c r="E14" i="17" s="1"/>
  <c r="C13" i="7"/>
  <c r="D13" i="7"/>
  <c r="C14" i="17"/>
  <c r="E9" i="3"/>
  <c r="C9" i="3"/>
  <c r="C70" i="3" s="1"/>
  <c r="D39" i="12"/>
  <c r="D30" i="8" s="1"/>
  <c r="D77" i="12"/>
  <c r="D14" i="17"/>
  <c r="D21" i="3"/>
  <c r="D10" i="3"/>
  <c r="D9" i="3" s="1"/>
  <c r="D70" i="3" s="1"/>
  <c r="F29" i="7"/>
  <c r="C46" i="12"/>
  <c r="E46" i="12"/>
  <c r="C47" i="12"/>
  <c r="E47" i="12"/>
  <c r="C48" i="12"/>
  <c r="E48" i="12"/>
  <c r="C49" i="12"/>
  <c r="E49" i="12"/>
  <c r="C50" i="12"/>
  <c r="E50" i="12"/>
  <c r="C51" i="12"/>
  <c r="E51" i="12"/>
  <c r="C52" i="12"/>
  <c r="E52" i="12"/>
  <c r="C53" i="12"/>
  <c r="E53" i="12"/>
  <c r="C54" i="12"/>
  <c r="E54" i="12"/>
  <c r="C55" i="12"/>
  <c r="E55" i="12"/>
  <c r="C56" i="12"/>
  <c r="E56" i="12"/>
  <c r="C57" i="12"/>
  <c r="E57" i="12"/>
  <c r="C58" i="12"/>
  <c r="E58" i="12"/>
  <c r="C59" i="12"/>
  <c r="E59" i="12"/>
  <c r="C60" i="12"/>
  <c r="E60" i="12"/>
  <c r="C61" i="12"/>
  <c r="E61" i="12"/>
  <c r="C62" i="12"/>
  <c r="E62" i="12"/>
  <c r="C63" i="12"/>
  <c r="E63" i="12"/>
  <c r="C65" i="12"/>
  <c r="E65" i="12"/>
  <c r="C66" i="12"/>
  <c r="E66" i="12"/>
  <c r="C67" i="12"/>
  <c r="E67" i="12"/>
  <c r="C69" i="12"/>
  <c r="E69" i="12"/>
  <c r="C70" i="12"/>
  <c r="E70" i="12"/>
  <c r="C71" i="12"/>
  <c r="E71" i="12"/>
  <c r="C72" i="12"/>
  <c r="E72" i="12"/>
  <c r="C73" i="12"/>
  <c r="E73" i="12"/>
  <c r="C75" i="12"/>
  <c r="E75" i="12"/>
  <c r="C76" i="12"/>
  <c r="E76" i="12"/>
  <c r="E45" i="12"/>
  <c r="C11" i="12"/>
  <c r="E11" i="12"/>
  <c r="C12" i="12"/>
  <c r="E12" i="12"/>
  <c r="C13" i="12"/>
  <c r="E13" i="12"/>
  <c r="C14" i="12"/>
  <c r="E14" i="12"/>
  <c r="C15" i="12"/>
  <c r="E15" i="12"/>
  <c r="C16" i="12"/>
  <c r="E16" i="12"/>
  <c r="C17" i="12"/>
  <c r="E17" i="12"/>
  <c r="C18" i="12"/>
  <c r="E18" i="12"/>
  <c r="C19" i="12"/>
  <c r="E19" i="12"/>
  <c r="C20" i="12"/>
  <c r="E20" i="12"/>
  <c r="C21" i="12"/>
  <c r="E21" i="12"/>
  <c r="C22" i="12"/>
  <c r="E22" i="12"/>
  <c r="C23" i="12"/>
  <c r="E23" i="12"/>
  <c r="C24" i="12"/>
  <c r="E24" i="12"/>
  <c r="C25" i="12"/>
  <c r="E25" i="12"/>
  <c r="C26" i="12"/>
  <c r="E26" i="12"/>
  <c r="C27" i="12"/>
  <c r="E27" i="12"/>
  <c r="C28" i="12"/>
  <c r="E28" i="12"/>
  <c r="C30" i="12"/>
  <c r="E30" i="12"/>
  <c r="C31" i="12"/>
  <c r="E31" i="12"/>
  <c r="C32" i="12"/>
  <c r="E32" i="12"/>
  <c r="C34" i="12"/>
  <c r="E34" i="12"/>
  <c r="C35" i="12"/>
  <c r="E35" i="12"/>
  <c r="C36" i="12"/>
  <c r="E36" i="12"/>
  <c r="C37" i="12"/>
  <c r="E37" i="12"/>
  <c r="C38" i="12"/>
  <c r="E38" i="12"/>
  <c r="E10" i="12"/>
  <c r="C37" i="8" l="1"/>
  <c r="D87" i="8"/>
  <c r="E70" i="3"/>
  <c r="C39" i="12"/>
  <c r="C77" i="12"/>
  <c r="E39" i="12"/>
  <c r="E77" i="12"/>
  <c r="C16" i="7"/>
  <c r="C10" i="8" s="1"/>
  <c r="L42" i="3"/>
  <c r="L9" i="3"/>
  <c r="F13" i="7"/>
  <c r="E30" i="8" l="1"/>
  <c r="E87" i="8" s="1"/>
  <c r="F77" i="12"/>
  <c r="F39" i="12"/>
  <c r="C30" i="8"/>
  <c r="C11" i="8"/>
  <c r="F70" i="3"/>
  <c r="D114" i="8"/>
  <c r="D119" i="8" s="1"/>
  <c r="D113" i="8"/>
  <c r="D118" i="8" s="1"/>
  <c r="D115" i="8"/>
  <c r="D120" i="8" s="1"/>
  <c r="D37" i="8"/>
  <c r="G44" i="7"/>
  <c r="G40" i="7"/>
  <c r="G55" i="7"/>
  <c r="F30" i="8" l="1"/>
  <c r="D89" i="8"/>
  <c r="C87" i="8"/>
  <c r="C89" i="8" s="1"/>
  <c r="D121" i="8"/>
  <c r="C125" i="8" s="1"/>
  <c r="F87" i="8" l="1"/>
  <c r="E38" i="8" s="1"/>
  <c r="E89" i="8" l="1"/>
  <c r="F89" i="8"/>
  <c r="F88" i="8"/>
  <c r="F90" i="8"/>
  <c r="E88" i="8"/>
  <c r="C88" i="8"/>
  <c r="D88" i="8"/>
  <c r="D16" i="7"/>
  <c r="D10" i="8" s="1"/>
  <c r="E16" i="7"/>
  <c r="E10" i="8" s="1"/>
  <c r="E114" i="8" l="1"/>
  <c r="E119" i="8" s="1"/>
  <c r="E115" i="8"/>
  <c r="E120" i="8" s="1"/>
  <c r="E113" i="8"/>
  <c r="E118" i="8" s="1"/>
  <c r="F113" i="8"/>
  <c r="F118" i="8" s="1"/>
  <c r="F114" i="8"/>
  <c r="F119" i="8" s="1"/>
  <c r="F115" i="8"/>
  <c r="F120" i="8" s="1"/>
  <c r="D11" i="8"/>
  <c r="E11" i="8"/>
  <c r="G118" i="8" l="1"/>
  <c r="F121" i="8"/>
  <c r="E125" i="8" s="1"/>
  <c r="E121" i="8"/>
  <c r="D125" i="8" s="1"/>
  <c r="G120" i="8"/>
  <c r="G119" i="8"/>
  <c r="G113" i="8"/>
  <c r="G114" i="8"/>
  <c r="G115" i="8"/>
  <c r="F125" i="8" l="1"/>
  <c r="C126" i="8" s="1"/>
  <c r="G121" i="8"/>
  <c r="D126" i="8" l="1"/>
  <c r="E126" i="8"/>
  <c r="N38" i="24"/>
  <c r="I39" i="3" l="1"/>
  <c r="C39" i="3" s="1"/>
  <c r="I28" i="3"/>
  <c r="I20" i="3" l="1"/>
  <c r="L20" i="3" s="1"/>
  <c r="C28" i="3"/>
  <c r="C20" i="3" s="1"/>
  <c r="J39" i="3"/>
  <c r="D39" i="3" s="1"/>
  <c r="O38" i="24"/>
  <c r="P38" i="24"/>
  <c r="K39" i="3"/>
  <c r="E39" i="3" s="1"/>
  <c r="K28" i="3"/>
  <c r="K20" i="3" s="1"/>
  <c r="E28" i="3" l="1"/>
  <c r="E20" i="3" s="1"/>
  <c r="J28" i="3"/>
  <c r="D28" i="3" s="1"/>
  <c r="D20" i="3" s="1"/>
  <c r="S38" i="24"/>
  <c r="V38" i="24" l="1"/>
  <c r="J20" i="3"/>
</calcChain>
</file>

<file path=xl/sharedStrings.xml><?xml version="1.0" encoding="utf-8"?>
<sst xmlns="http://schemas.openxmlformats.org/spreadsheetml/2006/main" count="1372" uniqueCount="521">
  <si>
    <t>Contenido</t>
  </si>
  <si>
    <t>Instrucciones</t>
  </si>
  <si>
    <t xml:space="preserve">Metodología </t>
  </si>
  <si>
    <t>Modelo e inputs</t>
  </si>
  <si>
    <t>Input</t>
  </si>
  <si>
    <t>Ponderador de riesgo</t>
  </si>
  <si>
    <t>Costos de procedimientos</t>
  </si>
  <si>
    <t>Costo de complicaciones</t>
  </si>
  <si>
    <t>Costos de tecnologías</t>
  </si>
  <si>
    <t>Factores modificadores de la enfermedad</t>
  </si>
  <si>
    <t xml:space="preserve">Resultados </t>
  </si>
  <si>
    <t>Costos de la enfermedad</t>
  </si>
  <si>
    <t>Escenario de valor con Adempas®</t>
  </si>
  <si>
    <t>Conclusiones</t>
  </si>
  <si>
    <t>Ficha técnica</t>
  </si>
  <si>
    <t>Celdas modificables</t>
  </si>
  <si>
    <t>Celdas calculadas</t>
  </si>
  <si>
    <t>Consideraciones</t>
  </si>
  <si>
    <t xml:space="preserve">Supuestos </t>
  </si>
  <si>
    <t xml:space="preserve">Población </t>
  </si>
  <si>
    <t xml:space="preserve">Numero de pacientes diagnosticados con HTP grupo I + grupo IV </t>
  </si>
  <si>
    <t>Costos procedimientos por paciente</t>
  </si>
  <si>
    <t xml:space="preserve">Recurso en salud * Proporción de uso por estadificación de riesgo * Costo unitario </t>
  </si>
  <si>
    <t>Costos de tecnologías por paciente</t>
  </si>
  <si>
    <t xml:space="preserve">Ponderado por categporia de riesgo según la proporción de uso de monoterapia , doble terapia , triple terapia </t>
  </si>
  <si>
    <t xml:space="preserve">Macrocosteo de paciente con Insuficiencia Cardiaca (IC) derecha por paciente </t>
  </si>
  <si>
    <t xml:space="preserve">Microcosteo de paciente con Insuficiencia Cardiaca (IC) derecha por paciente </t>
  </si>
  <si>
    <t xml:space="preserve">Macrocosteo de paciente con infección (Neumonía o no neumónica) y hospitalizaciones por paciente </t>
  </si>
  <si>
    <t xml:space="preserve">Factores modificadores del modelo </t>
  </si>
  <si>
    <t>Fuentes propuestas: Documento Dr Calderón, apoyo de medical con recursos a costear de esa evitabilidad por ejemplo de eventos adversos, interacciones, etc</t>
  </si>
  <si>
    <t>El resultado del modelo tendrá un ajuste adicional posterior a la estimación del escenario 1, teniendo en cuenta:</t>
  </si>
  <si>
    <t>Grupo I HAP</t>
  </si>
  <si>
    <t>Grupo IV HTCE</t>
  </si>
  <si>
    <t xml:space="preserve">Distribución por grupo de HTP </t>
  </si>
  <si>
    <t>Si no tiene datos de la institución, seleccione un caso de referencia</t>
  </si>
  <si>
    <t>Ver Input-Ponderador riesgo</t>
  </si>
  <si>
    <t>HAP -HTEC</t>
  </si>
  <si>
    <t>Estadificación riesgo Bajo</t>
  </si>
  <si>
    <t xml:space="preserve">Estadificación riesgo Intermedio </t>
  </si>
  <si>
    <t>Estadificación riesgo Alto</t>
  </si>
  <si>
    <t>Distribución por estadificación de riesgo</t>
  </si>
  <si>
    <t>Costo de Complicaciones por paciente</t>
  </si>
  <si>
    <t>Probabilidad de complicaciones</t>
  </si>
  <si>
    <t>Si no tiene datos de la institución, puede usar la siguiente referencia para todas las complicaciones y en el caso de falla cardiaca derecha realizar microcosteo por paciente</t>
  </si>
  <si>
    <t xml:space="preserve">Si tiene el rubro no es por paquete con un solo costo, puedo dirigirse a Costo de complicaciones para realizar microcosteo </t>
  </si>
  <si>
    <t>Estadificación riesgo Intermedio</t>
  </si>
  <si>
    <t>Costo por paciente por complicación</t>
  </si>
  <si>
    <t>Complicaciones</t>
  </si>
  <si>
    <t xml:space="preserve">Hospitalizaciones por causas diferentes a falla cardiaca derecha </t>
  </si>
  <si>
    <t xml:space="preserve">Falla cardiaca en hospitalización general </t>
  </si>
  <si>
    <t xml:space="preserve">Falla cardiaca derecha de paciente Crítico </t>
  </si>
  <si>
    <t>Ver Input-Costo complicaciones</t>
  </si>
  <si>
    <t>TOTAL</t>
  </si>
  <si>
    <t>Distribución uso de tecnologías</t>
  </si>
  <si>
    <t>Tratamiento</t>
  </si>
  <si>
    <t>Estadificación riesgo Intermedio bajo</t>
  </si>
  <si>
    <t>%</t>
  </si>
  <si>
    <t xml:space="preserve">Monoterapia </t>
  </si>
  <si>
    <t>Selexipag</t>
  </si>
  <si>
    <t xml:space="preserve">Riociguat </t>
  </si>
  <si>
    <t>Iloprost</t>
  </si>
  <si>
    <t>Epoprostenol</t>
  </si>
  <si>
    <t>Terapias combinadas (doble)</t>
  </si>
  <si>
    <t xml:space="preserve">ERA + Riociguat </t>
  </si>
  <si>
    <t>ERA + Selexipag</t>
  </si>
  <si>
    <t xml:space="preserve">iPDE5 + Selexipag </t>
  </si>
  <si>
    <t>ERA + iPDE5</t>
  </si>
  <si>
    <t>ERA + epoprostenol</t>
  </si>
  <si>
    <t xml:space="preserve">ERA + Iloprost </t>
  </si>
  <si>
    <t xml:space="preserve">ERA + trepostinil </t>
  </si>
  <si>
    <t>Riociguat  + epoprostenol</t>
  </si>
  <si>
    <t xml:space="preserve">Riociguat + Iloprost </t>
  </si>
  <si>
    <t xml:space="preserve">Riociguat+ trepostinil </t>
  </si>
  <si>
    <t>Terapias combinadas (Triples)</t>
  </si>
  <si>
    <t>ERA + iPDE5 + trepostinil</t>
  </si>
  <si>
    <t xml:space="preserve">ERA + iPDE5 + iloprost </t>
  </si>
  <si>
    <t xml:space="preserve">ERA + iPDE5 + epoprostenol </t>
  </si>
  <si>
    <t>ERA + Riociguat + trepostinil</t>
  </si>
  <si>
    <t xml:space="preserve">ERA + Riociguat + iloprost </t>
  </si>
  <si>
    <t xml:space="preserve">ERA + Riociguat + epoprostenol </t>
  </si>
  <si>
    <t>Ver Input-Costos tecnologías</t>
  </si>
  <si>
    <t>HAP</t>
  </si>
  <si>
    <t>HTEC</t>
  </si>
  <si>
    <t>Proporción por grupo diagnóstico</t>
  </si>
  <si>
    <t>Ponderador de pacientes</t>
  </si>
  <si>
    <t>Distribución por categoria riesgo</t>
  </si>
  <si>
    <t>Escenarios de referencia</t>
  </si>
  <si>
    <t>1. Distribución por grupo diagnóstico</t>
  </si>
  <si>
    <t>Fuente</t>
  </si>
  <si>
    <t>Brasil Study</t>
  </si>
  <si>
    <t xml:space="preserve">Estudio Brasil cohorte de ingreso UCI </t>
  </si>
  <si>
    <t>García MH, Souza R, Costa ELV, Fernandes CJCS, Jardim C, Caruso P. Outcomes and prognostic factors of decompensated pulmonary hypertension in the intensive care unit. Respiratory Medicine. 2021 Dec 1;190:106685.</t>
  </si>
  <si>
    <t>UK Study</t>
  </si>
  <si>
    <t>UK study</t>
  </si>
  <si>
    <t>Kjellstrom BWM, Dahlerup H, Hesselstrand R, et al. Swedish €
Pulmonary Arterial Hypertension Registry annual report
2019, www.ucr.uu.se/spahr/arsrapporter (2019, accessed 1
October 2020).</t>
  </si>
  <si>
    <t>2. Escenario de estadificación</t>
  </si>
  <si>
    <t>2.1. Datos presentados de Centros de referencia en HTP</t>
  </si>
  <si>
    <t>2.2. Adv Ther.2019;36(9):2351-63</t>
  </si>
  <si>
    <t xml:space="preserve">2.3. Cadiovid </t>
  </si>
  <si>
    <t>2.2. CHEST 1 New England Journal of Medicine. 2013;369(4):319–29.</t>
  </si>
  <si>
    <t>Case F I</t>
  </si>
  <si>
    <t>Case F II</t>
  </si>
  <si>
    <t>Clase F III</t>
  </si>
  <si>
    <t>Clase F IV</t>
  </si>
  <si>
    <t>2.2.PATENT 1 New England Journal of Medicine. 2013;369(4):330–40.</t>
  </si>
  <si>
    <t>HAP - HTEC</t>
  </si>
  <si>
    <t>2.3. Snigdha Jain. 2017  (29)</t>
  </si>
  <si>
    <t> R.S</t>
  </si>
  <si>
    <t>0-67</t>
  </si>
  <si>
    <t>33-100</t>
  </si>
  <si>
    <t>2.3. Thorsten Kramm. 2018 (60)</t>
  </si>
  <si>
    <t>Alemania</t>
  </si>
  <si>
    <t>Clinico</t>
  </si>
  <si>
    <t>Evaluación</t>
  </si>
  <si>
    <t>CUPS</t>
  </si>
  <si>
    <t xml:space="preserve">Procedimiento </t>
  </si>
  <si>
    <t>Basal</t>
  </si>
  <si>
    <t>Cada 6 meses</t>
  </si>
  <si>
    <t>Valoración clínica y determinación de la clase funcional</t>
  </si>
  <si>
    <t>CONSULTA DE CONTROL O DE SEGUIMIENTO POR MEDICINA ESPECIALIZADA +</t>
  </si>
  <si>
    <t>CONSULTA DE CONTROL O DE SEGUIMIENTO POR NUTRICION Y DIETETICA +</t>
  </si>
  <si>
    <t>Electrocardiograma</t>
  </si>
  <si>
    <t>ELECTROCARDIOGRAMA DE RITMO O DE SUPERFICIE SOD</t>
  </si>
  <si>
    <t>PM6M/Índice de disnea de Borg</t>
  </si>
  <si>
    <t>PRUEBA CAMINATA 6 MINUTOS</t>
  </si>
  <si>
    <t>Prueba de esfuerzo cardiopulmonar</t>
  </si>
  <si>
    <t>E24119</t>
  </si>
  <si>
    <t>ERGOESPIROMETRIA COMPLETA (MV, BF, FC02, RQ, HR, VO2, VC02, F02, V02/RG, MET, EQ02)</t>
  </si>
  <si>
    <t>Ecocardiograma</t>
  </si>
  <si>
    <t>ECOCARDIOGRAMA TRANSTORACICO</t>
  </si>
  <si>
    <t xml:space="preserve">Analítica básica </t>
  </si>
  <si>
    <t>HEMOGRAMA IV [HEMOGLOBINA, HEMATOCRITO, RECUENTO DE ERITROCITOS, INDICES ERITROCITARIOS, LEUCOGRAMA, RECUENTO DE PLAQUETAS, INDICES PLAQUETARIOS Y MORFOLOGIA ELECTRONICA E HISTOGRAMA] METODO AUTOMATICO+</t>
  </si>
  <si>
    <t>ROJO = ELIMINAR</t>
  </si>
  <si>
    <t>MUTACION DE PROTOMBINA</t>
  </si>
  <si>
    <t>BUN</t>
  </si>
  <si>
    <t>CREATININA</t>
  </si>
  <si>
    <t>SODIO+</t>
  </si>
  <si>
    <t>POTASIO +</t>
  </si>
  <si>
    <t>TRANSAMINASA GLUTAMICOPIRUVICA O ALANINO AMINO TRANSFERASA [TGP-ALT] *+</t>
  </si>
  <si>
    <t>TRANSAMINASA GLUTAMICO OXALACETICA O ASPARTATO AMINO TRANSFERASA [TGO-AST] +</t>
  </si>
  <si>
    <t>TIEMPO DE PROTROMBINA</t>
  </si>
  <si>
    <t>BILIRRUBINAS TOTAL Y DIRECTA</t>
  </si>
  <si>
    <t>RX TORAX</t>
  </si>
  <si>
    <t>NT PRO BNP</t>
  </si>
  <si>
    <t>PEPTIDO C, POST GLUCAGON</t>
  </si>
  <si>
    <t xml:space="preserve">Analítica ampliada </t>
  </si>
  <si>
    <t>HORMONA ESTIMULANTE DEL TIROIDES [TSH]</t>
  </si>
  <si>
    <t>TROPONINA T, CUANTITATIVA +</t>
  </si>
  <si>
    <t>TROPONINA T, CUALITATIVA +</t>
  </si>
  <si>
    <t>ACIDO URICO</t>
  </si>
  <si>
    <t>FERRITINA +</t>
  </si>
  <si>
    <t>ANGIOTAC TORAX</t>
  </si>
  <si>
    <t>TAC TORAX SIMPLE</t>
  </si>
  <si>
    <t>GAMAGRAFIA VQ</t>
  </si>
  <si>
    <t>SATURACION DE TRANSFERRINA +</t>
  </si>
  <si>
    <t xml:space="preserve">Gasometría Arterial Basal </t>
  </si>
  <si>
    <t>GASES ARTERIALES (EN REPOSO O EN EJERCICIO)</t>
  </si>
  <si>
    <t>RESONANCIA MAGNETICA DE CORAZÓN</t>
  </si>
  <si>
    <t xml:space="preserve">Cateterismo cardiaco derecho </t>
  </si>
  <si>
    <t>CATETERISMO O ESTUDIO ELECTROFISIOLÓGICO CARDÍACO DEL LADO DERECHO DEL CORAZÓN</t>
  </si>
  <si>
    <t xml:space="preserve">                                                                                                SEGUIMIENTO                                                                                 USD</t>
  </si>
  <si>
    <t xml:space="preserve">REVISAR CON MANUEL PACHECO FRECUENCIAS DE ESTUDIOS DE SEGUIMIENTO </t>
  </si>
  <si>
    <t>MANUEL PACHECO: REVISAR SI ALGO CAMBIA SEGÚN CLASE FUNCIONAL O APROX DE FRECUENCIA DE DESCOMPENSACIONES</t>
  </si>
  <si>
    <t>ADICIONAR COSTO DE HOSPITALIZACION DIA / HOSPITALIZACION GENERAL</t>
  </si>
  <si>
    <t xml:space="preserve">REVISAR INCIDENCIA DE COMPLICACIONES EN PACIENTES CON HTP EN TRATAMIENTO / SIN TRATAMIENTO </t>
  </si>
  <si>
    <t>PACIENTE CRITICO</t>
  </si>
  <si>
    <t>INSUMOS PACIENTE CRITICO</t>
  </si>
  <si>
    <t xml:space="preserve">Día de hospitalización en UCI </t>
  </si>
  <si>
    <t>110A01</t>
  </si>
  <si>
    <t xml:space="preserve">Tubo orotraqueal x 1 </t>
  </si>
  <si>
    <t>Día de ventilación mecánica</t>
  </si>
  <si>
    <t xml:space="preserve">Catéter monolumen arterial x 1 </t>
  </si>
  <si>
    <t>Oxígeno x día de VM</t>
  </si>
  <si>
    <t xml:space="preserve">Catéter bilumen venoso central x 1 </t>
  </si>
  <si>
    <t>Lactato cada día</t>
  </si>
  <si>
    <t>Sonda vesical x 1</t>
  </si>
  <si>
    <t>Nutrición enteral x día</t>
  </si>
  <si>
    <t xml:space="preserve">Gases arteriales cada dìa </t>
  </si>
  <si>
    <t xml:space="preserve">Rx tórax cada día </t>
  </si>
  <si>
    <t>Labs diarios básicos</t>
  </si>
  <si>
    <t xml:space="preserve">Ecocardiograma transtorácico seguimiento x 1 </t>
  </si>
  <si>
    <t xml:space="preserve">Infusión furosemida aprox 10 mg h = 240 mg día </t>
  </si>
  <si>
    <t xml:space="preserve">Infusión dobutamina 5 mcg k min xa 70 kg = 504 mg dia </t>
  </si>
  <si>
    <t>Infusión milrinone 0.37 mcg k min xa 70 kg = 37 mg día</t>
  </si>
  <si>
    <t>Infusión levosimendan x 1 amp dosis única</t>
  </si>
  <si>
    <t>Infusión noradrenalina 0.2 mcg k min xa 70 kg = 20 mg día</t>
  </si>
  <si>
    <t>Infusión vasopresina 2 U h = 48 UI día</t>
  </si>
  <si>
    <t>ECMO x día (cuidado diario)</t>
  </si>
  <si>
    <t>Canulación periférica (1 vez)</t>
  </si>
  <si>
    <t>Reacomodación ECMO (Cambios cánulas o configuración)</t>
  </si>
  <si>
    <t>Retiro ECMO (1 vez)</t>
  </si>
  <si>
    <t>Transfusión GRE x 1 U GRE (911107 + 912002 + 911021)</t>
  </si>
  <si>
    <t xml:space="preserve">Aprox 1 x día </t>
  </si>
  <si>
    <t>Transfusión plaquetas aféresis</t>
  </si>
  <si>
    <t>Trasplante bilateral de pulmón</t>
  </si>
  <si>
    <t>ESTIMADOS BÁSICOS REALIZADOS SIN CONTEMPLAR COMPLICACIONES ASOCIADAS A LA ATENCIÓN, EN PACIENTE EN PUENTE A TRASPLANTE PULMONAR</t>
  </si>
  <si>
    <t>Apuntes reunión Dr Pacheco - 10.04.2023</t>
  </si>
  <si>
    <r>
      <t>Causas de descompensación paciente HTP ya dx: No médicas ("administrativas": acceso, continuidad, oportunidad x e.g") / causas clínicas ( HTP / condiciones asociadas x eg neumonia - pobre reserva funcional: &gt; efecto sobre paciente con HTP) /</t>
    </r>
    <r>
      <rPr>
        <sz val="11"/>
        <color rgb="FFFF0000"/>
        <rFont val="Arial"/>
        <family val="2"/>
      </rPr>
      <t xml:space="preserve"> Buscar reporte CRASH (Art. UK)</t>
    </r>
    <r>
      <rPr>
        <sz val="11"/>
        <color theme="1"/>
        <rFont val="Arial"/>
        <family val="2"/>
      </rPr>
      <t xml:space="preserve"> C chest pain - R righ vent failure - A arrythmias - S sepsis - H hemoptisis)   </t>
    </r>
  </si>
  <si>
    <t xml:space="preserve">Que perderia si se pierde PSP?: Facilidad en la titulación, información de vida real, acceso del paciente al medicamento - citas, puente de programa al tratante. </t>
  </si>
  <si>
    <t xml:space="preserve">Sus dos más relevantes son sepsis, eventos tromboembólicos (TEP ppal/) </t>
  </si>
  <si>
    <t>Ad portas del LoE donde precio es lo màs relevante para las negociaciones (EPS), cree adecuado que se haga evidente estos costos que se generan desde PSP: Cree que si vale la pena socializarlo plantearlo teniendo en cuenta el tipo de enfermedad que se trata con Adempas. Buscar mostrar experiencias reales de los pacientes (medicamento que faltaba x eg).  Comparadores como oncologìa.</t>
  </si>
  <si>
    <t xml:space="preserve">Respecto a PSP: Depende de modelo de contratación, si hay un programa x eg se requiere menos soporte. En modelos de menor volumen se requiere màs apoyo. </t>
  </si>
  <si>
    <t xml:space="preserve">Nos compartirá los datos de clases funcionales y àrea urbana vs rural. </t>
  </si>
  <si>
    <t xml:space="preserve">Cree que se podria hacer màs ènfasis en educaciòn, incluyendo al tratante. Mejorando relaciones programa - paciente - mèdico. </t>
  </si>
  <si>
    <t xml:space="preserve">Claudia pregunta sobre estadios y consumo de recursos: Si puede haber descompensación en todos los estadíos por evolución o x desencadenantes. / Entre màs avanzada &gt; intervención &gt; control &gt; estudios. Estudio de comparación entre CF - hemodinamia pulmonar - no siempre la CF es equivalente a la condición hemodinámica pulmonar. </t>
  </si>
  <si>
    <t xml:space="preserve">Farmacovigilancia, como visibilizarla con el ejercicio farmacoeconómico: Con la descompensación - no serìa posible con el que no mejora. Insistir en la parte educativa en la correcta clasificación (semàforo) - Seguimiento a rutas de reportes de RAM.   </t>
  </si>
  <si>
    <t xml:space="preserve">Julio pregunta si hay mejoría de las CF con el tratmiento: Si, se busca la mejorìa pero es multi paramètrica. </t>
  </si>
  <si>
    <t>Evaluación clinica general + lo especìfico de HTP</t>
  </si>
  <si>
    <t>Tener en cuenta escenarios pre trans y post descompensación.  (Home care, O2)</t>
  </si>
  <si>
    <t xml:space="preserve">Costo anual por paciente HAP </t>
  </si>
  <si>
    <t>Consumo de recursos por Clase funcional HAP</t>
  </si>
  <si>
    <t>Costos</t>
  </si>
  <si>
    <t>Costo unitario de procedimiento COP</t>
  </si>
  <si>
    <t>Visitas Médicas</t>
  </si>
  <si>
    <t>The economic burden of pulmonary arterial hypertension in Spain</t>
  </si>
  <si>
    <t>General</t>
  </si>
  <si>
    <t>Nutrición</t>
  </si>
  <si>
    <t>Especialista</t>
  </si>
  <si>
    <t>Visita Urgencias</t>
  </si>
  <si>
    <t>Paraclinicos</t>
  </si>
  <si>
    <t>DUDA ERGOESPIROMETRIA COMPLETA (MV, BF, FC02, RQ, HR, VO2, VC02, F02, V02/RG, MET, EQ02)</t>
  </si>
  <si>
    <t>Test cardiopulmonar de ejercicio</t>
  </si>
  <si>
    <t>Test de caminata 6 min</t>
  </si>
  <si>
    <t>Hemograma</t>
  </si>
  <si>
    <t xml:space="preserve">Creatinina </t>
  </si>
  <si>
    <t>Sodio</t>
  </si>
  <si>
    <t>Potaso</t>
  </si>
  <si>
    <t>Transaminasa glutamicopiruvica o alanino amino transferasa [TGP-ALT]</t>
  </si>
  <si>
    <t>Transaminasa glutamico oxalacetica o aspartato amino transferasa [TGO-AST]</t>
  </si>
  <si>
    <t>Tiempo De Protrombina</t>
  </si>
  <si>
    <t>Bilirrubinas total y directa</t>
  </si>
  <si>
    <t>Bioquímica extendida</t>
  </si>
  <si>
    <t>Hormona estimulante de tiroides (TSH)</t>
  </si>
  <si>
    <t>Troponina T cuantitativa</t>
  </si>
  <si>
    <t>Análisis de gases arteriales</t>
  </si>
  <si>
    <t>Imagenología</t>
  </si>
  <si>
    <t>Cateterismo arterial corazon</t>
  </si>
  <si>
    <t>Angiograma</t>
  </si>
  <si>
    <t>Radigráfia de torax</t>
  </si>
  <si>
    <t>TAC Tórax simple</t>
  </si>
  <si>
    <t>Gamagrafia VQ</t>
  </si>
  <si>
    <t>Costo anual por paciente HTEC</t>
  </si>
  <si>
    <t>Consumo de recursos por Clase funcional HTEC</t>
  </si>
  <si>
    <t>Clase funcional I</t>
  </si>
  <si>
    <t>Clase funcional III</t>
  </si>
  <si>
    <t>Clase funcional IV</t>
  </si>
  <si>
    <t>Costo unitario de procedimiento USD</t>
  </si>
  <si>
    <t>Enfermería</t>
  </si>
  <si>
    <t>Cateterismo derecho</t>
  </si>
  <si>
    <t>Angiografia pulmonar</t>
  </si>
  <si>
    <t>Tromboendarterectomia pulmonar</t>
  </si>
  <si>
    <t>Angioplastía pulmonar</t>
  </si>
  <si>
    <t xml:space="preserve">Proporción de pacientes que se complican por rubro </t>
  </si>
  <si>
    <t xml:space="preserve">Fuente </t>
  </si>
  <si>
    <t>Burger CD, Long PK, Shah MR, McGoon MD, Miller DP, Romero AJ, et al. Characterization of first-time hospitalizations in patients with newly diagnosed pulmonary arterial hypertension in the reveal registry. Chest. 2014;146(5):1263–73.</t>
  </si>
  <si>
    <t>Savale L, Kularatne M, Roche A, Pichon J, Baron A, Boucly A, et al. Management of acutely decompensated pulmonary hypertension. Seminars in Respiratory and Critical Care Medicine. 2023 Jun 27</t>
  </si>
  <si>
    <t xml:space="preserve">Supuesto: 
Todos los pacientes con alto riesgo hospitalizados por falla cardiaca entran a UCI
El 50% de los pacientes de riesgo intermedio entran a UCI
El 10% de los pacientes de riesgo bajo entran a UCI </t>
  </si>
  <si>
    <t xml:space="preserve">CÁLCULOS </t>
  </si>
  <si>
    <t>Frecuencia por año por paciente</t>
  </si>
  <si>
    <t xml:space="preserve">Costo de la complicación por paciente </t>
  </si>
  <si>
    <t>Valor Unitario</t>
  </si>
  <si>
    <t>Hospitalizaciones</t>
  </si>
  <si>
    <t xml:space="preserve">Frecuencia por año paciente </t>
  </si>
  <si>
    <t xml:space="preserve">Hospitalizaciones (Neumonía y No Neumonía) </t>
  </si>
  <si>
    <t>Falla cardiaca derecha</t>
  </si>
  <si>
    <t>Tamayo</t>
  </si>
  <si>
    <t xml:space="preserve">Microcosteo complicación falla cardíaca derecha </t>
  </si>
  <si>
    <t xml:space="preserve">Microcosteo Complicación Falla cardíaca derecha </t>
  </si>
  <si>
    <t xml:space="preserve">Paciente tipo Falla cardíaca derecha </t>
  </si>
  <si>
    <t xml:space="preserve">Cantidad por paciente </t>
  </si>
  <si>
    <t>Costos de complicaciones FC derecha</t>
  </si>
  <si>
    <t xml:space="preserve">Fuente: Simulación clínica con experto </t>
  </si>
  <si>
    <t>Fuente: Costo Unitario por cantidad por paciente</t>
  </si>
  <si>
    <t>Código</t>
  </si>
  <si>
    <t>Rubro</t>
  </si>
  <si>
    <t>Valor unitario</t>
  </si>
  <si>
    <t>Costo estadificación Bajo riesgo</t>
  </si>
  <si>
    <t>Costo estadificación riesgo intermedio</t>
  </si>
  <si>
    <t>Costo estadificación alto riesgo</t>
  </si>
  <si>
    <t>Hemograma tipo IV</t>
  </si>
  <si>
    <t>Creatinina</t>
  </si>
  <si>
    <t>Potasio</t>
  </si>
  <si>
    <t>Gases arteriales</t>
  </si>
  <si>
    <t>Rx de torax</t>
  </si>
  <si>
    <t>Oxígeno por VM</t>
  </si>
  <si>
    <t>Dia de hospitalización en UCI</t>
  </si>
  <si>
    <t>Hospitalización General (Unipersonal complejidad alta)</t>
  </si>
  <si>
    <t xml:space="preserve">Transfusión GRE x 1 U GRE </t>
  </si>
  <si>
    <t>Costo Total Mínimo</t>
  </si>
  <si>
    <t>Costo Total Promedio</t>
  </si>
  <si>
    <t>Costo Total Máximo</t>
  </si>
  <si>
    <t>Principio Activo</t>
  </si>
  <si>
    <t>Via  de Admon</t>
  </si>
  <si>
    <t xml:space="preserve">Dosis día </t>
  </si>
  <si>
    <t xml:space="preserve">Unidad de medida dosis día </t>
  </si>
  <si>
    <t xml:space="preserve">Dosis mes por paciente </t>
  </si>
  <si>
    <t xml:space="preserve">Unidad de medida mes </t>
  </si>
  <si>
    <t xml:space="preserve">Dosificación </t>
  </si>
  <si>
    <t xml:space="preserve">Presentaciones disponibles </t>
  </si>
  <si>
    <t>Requerimiento para Titulación</t>
  </si>
  <si>
    <t>Bajo Riesgo</t>
  </si>
  <si>
    <t xml:space="preserve">Riesgo intermdio </t>
  </si>
  <si>
    <t>Alto riesgo</t>
  </si>
  <si>
    <t>Inhalada</t>
  </si>
  <si>
    <t>Nebulizador Breelib</t>
  </si>
  <si>
    <t>Ampollas</t>
  </si>
  <si>
    <t xml:space="preserve">Ventavis® </t>
  </si>
  <si>
    <t>Titulación ambulatoria</t>
  </si>
  <si>
    <t>infusion Intravenosa</t>
  </si>
  <si>
    <t>cateter central + bomba de infusión</t>
  </si>
  <si>
    <t>2 ng/kg/ cada 15 min hasta llegar a una dosis media de 20 a 40 ng/kl min en adultos. De acuerdo con tolerancia puede llegar hasta 80-120 ng/kl/min
Paciente peso promedio 70 kg</t>
  </si>
  <si>
    <t xml:space="preserve">Veletri® Janssen
Floral </t>
  </si>
  <si>
    <t>Titulacion Intrahospitalaria 7 a 12 dias</t>
  </si>
  <si>
    <t xml:space="preserve">ERA </t>
  </si>
  <si>
    <t>Treprostinil</t>
  </si>
  <si>
    <t>Infusión Subcutánea</t>
  </si>
  <si>
    <t xml:space="preserve">Frascos </t>
  </si>
  <si>
    <t>Dosis inicial 1,25 ng/kg/min cada semana  x 4 semanas. Luego subir a 2,5 ng/kl/min . Si no se tolera bajar a 0,625 ng/kl/min x semana hasta llegar a dosis media de 36 y 42 ng/kl/min (entre 24 y 48 meses despues)
Paciente peso promedio 70 kg</t>
  </si>
  <si>
    <t xml:space="preserve">Remodulin® (Pint Farma)
Timerazone® (Dr Reddys) </t>
  </si>
  <si>
    <t>Titulación hospitalaria</t>
  </si>
  <si>
    <t>Inhibiadores de fosfodiesterasa 5</t>
  </si>
  <si>
    <t>Oral</t>
  </si>
  <si>
    <t>Tabletas</t>
  </si>
  <si>
    <t xml:space="preserve">Tabletas </t>
  </si>
  <si>
    <t>Escalonamiento de 200 mcg de selexipag (2 veces al dia) cada semana hasta llegar a 1.600 mcg  bid o a dosis mas alta tolerada.</t>
  </si>
  <si>
    <t>Uptravi®</t>
  </si>
  <si>
    <t xml:space="preserve">Requiere titulación 1 mg tres veces al día por 14 dias, continuar 1,5 mg tres veces al dia por 14 dias, continuar 2 mg tres veces ald ía por 14 días y mantenimiento de 2,5 mg tres veces al dia </t>
  </si>
  <si>
    <t xml:space="preserve">Adempas® Bayer
Pulmowat </t>
  </si>
  <si>
    <t xml:space="preserve">Sildenafilo </t>
  </si>
  <si>
    <t xml:space="preserve">20 mg tres veces al dia </t>
  </si>
  <si>
    <t>Tadafilo</t>
  </si>
  <si>
    <t xml:space="preserve">10 mg dos veces al dia </t>
  </si>
  <si>
    <t>Epoproestenol</t>
  </si>
  <si>
    <t>Bosentan</t>
  </si>
  <si>
    <t xml:space="preserve">125 mg dos veces al dia </t>
  </si>
  <si>
    <t>Trepostinilo</t>
  </si>
  <si>
    <t>Ambrisentan</t>
  </si>
  <si>
    <t xml:space="preserve">10 mg dos veces al día </t>
  </si>
  <si>
    <t>Macitentan</t>
  </si>
  <si>
    <t>Combinaciones de la terapia farmacológica en hipertensión pulmonar</t>
  </si>
  <si>
    <t xml:space="preserve">Tipo de esquema </t>
  </si>
  <si>
    <t xml:space="preserve">Porcentaje de uso </t>
  </si>
  <si>
    <t>Monoterapia</t>
  </si>
  <si>
    <t>Terapia doble</t>
  </si>
  <si>
    <t>Terapia triple</t>
  </si>
  <si>
    <t>Fuente Heart Assoc 2022;11; DOI10,4461/JAHA.121.024969</t>
  </si>
  <si>
    <t xml:space="preserve">Cuadro resumen costo unitario tecnologías </t>
  </si>
  <si>
    <t xml:space="preserve">Costo mínimo </t>
  </si>
  <si>
    <t>Tomar los que tengan marca</t>
  </si>
  <si>
    <t>Unitario</t>
  </si>
  <si>
    <t xml:space="preserve">Día </t>
  </si>
  <si>
    <t>Mes</t>
  </si>
  <si>
    <t xml:space="preserve">Año </t>
  </si>
  <si>
    <t>SISMED Pulmonell® Bosentan</t>
  </si>
  <si>
    <t>SISMED precio Sildenafil más bajo con marca</t>
  </si>
  <si>
    <t xml:space="preserve">SISMED Pulmoguat® </t>
  </si>
  <si>
    <t xml:space="preserve">SISMED Ventavis® </t>
  </si>
  <si>
    <t xml:space="preserve">SISMED Flolan® </t>
  </si>
  <si>
    <t>SISMED Remodulin®</t>
  </si>
  <si>
    <t xml:space="preserve">Doble terapia </t>
  </si>
  <si>
    <t xml:space="preserve">Triple terapia </t>
  </si>
  <si>
    <t>Costo promedio</t>
  </si>
  <si>
    <t xml:space="preserve">SISMED Promedio ponderado no ajustado a venta </t>
  </si>
  <si>
    <t xml:space="preserve">ER+ trepostinil </t>
  </si>
  <si>
    <t>Costo Máximo</t>
  </si>
  <si>
    <t>SISMED precio más alto Macitentan</t>
  </si>
  <si>
    <t xml:space="preserve">SISMED precio más alto Cialis tadafilo </t>
  </si>
  <si>
    <t>SISMED  precio mas alto Uptravi</t>
  </si>
  <si>
    <t>SISMED precio más alto Adempas®</t>
  </si>
  <si>
    <t xml:space="preserve">SISMED precio más alto Ventavis® </t>
  </si>
  <si>
    <t xml:space="preserve">SISMED precio más alto Veletri® </t>
  </si>
  <si>
    <t>SISMED precio más alto remodulin 10mg/ml</t>
  </si>
  <si>
    <t>Costo promedio por año por tecnología</t>
  </si>
  <si>
    <t>Heart Assoc 2022;11; DOI10,4461/JAHA.121.024969</t>
  </si>
  <si>
    <t>Costo tratamiento año (COP)</t>
  </si>
  <si>
    <t xml:space="preserve">% Diferencia con genérico </t>
  </si>
  <si>
    <t>Bosentan (Brand)</t>
  </si>
  <si>
    <t>Ambrisentan (Brand)</t>
  </si>
  <si>
    <t>Macitentan (Brand)</t>
  </si>
  <si>
    <t>Sildenafil</t>
  </si>
  <si>
    <t>Tadalafil</t>
  </si>
  <si>
    <t>Riociguat</t>
  </si>
  <si>
    <t>Bosentan 125 mg/12h -Sildenafil 20 mg/8h</t>
  </si>
  <si>
    <t>Bosentan 125 mg/12h -Tadalafil 20 mg/12h</t>
  </si>
  <si>
    <t>Bosentan 125 mg/12h -Riociguat 2,5 mg/8h</t>
  </si>
  <si>
    <t>Bosentan 125 mg/12h -Treprostinil 40 ng/kg/min</t>
  </si>
  <si>
    <t>Bosentan 125 mg/12h -Epoprostenol 20 ng/kg/min</t>
  </si>
  <si>
    <t>Bosentan 125 mg/12h -Iloprost 6 ampollas por día</t>
  </si>
  <si>
    <t>Ambrisentan 10 mg/24h -Sildenafil 20 mg/8h</t>
  </si>
  <si>
    <t>Ambrisentan 10 mg/24h -Tadalafil 20 mg/12h</t>
  </si>
  <si>
    <t>Ambrisentan 10 mg/24h -Riociguat 2,5 mg/8h</t>
  </si>
  <si>
    <t>Ambrisentan 10 mg/24h -Treprostinil 40 ng/kg/min</t>
  </si>
  <si>
    <t>Ambrisentan 10 mg/24h -Epoprostenol 20 ng/kg/min</t>
  </si>
  <si>
    <t>Ambrisentan 10 mg/24h -Iloprost 6 ampollas por día</t>
  </si>
  <si>
    <t>Macitentan  10 mg/12h -Sildenafil 20 mg/8h</t>
  </si>
  <si>
    <t>Macitentan  10 mg/12h -Tadalafil 20 mg/12h</t>
  </si>
  <si>
    <t>Macitentan  10 mg/12h -Riociguat 2,5 mg/8h</t>
  </si>
  <si>
    <t>Macitentan  10 mg/12h -Treprostinil 40 ng/kg/min</t>
  </si>
  <si>
    <t>Macitentan  10 mg/12h -Epoprostenol 20 ng/kg/min</t>
  </si>
  <si>
    <t>Macitentan  10 mg/12h -Iloprost 6 ampollas por día</t>
  </si>
  <si>
    <t>Riociguat 2,5 mg/8h -Treprostinil 40 ng/kg/min</t>
  </si>
  <si>
    <t>Riociguat 2,5 mg/8h -Epoprostenol 20 ng/kg/min</t>
  </si>
  <si>
    <t>Riociguat 2,5 mg/8h -Iloprost 6 ampollas por día</t>
  </si>
  <si>
    <t>Bosentan 125 mg/12h -Sildenafil 20 mg/8h-Treprostinil 40 ng/kg/min</t>
  </si>
  <si>
    <t>Bosentan 125 mg/12h -Tadalafil 20 mg/12h-Treprostinil 40 ng/kg/min</t>
  </si>
  <si>
    <t>Bosentan 125 mg/12h -Sildenafil 20 mg/8h-Epoprostenol 20 ng/kg/min</t>
  </si>
  <si>
    <t>Bosentan 125 mg/12h -Tadalafil 20 mg/12h-Epoprostenol 20 ng/kg/min</t>
  </si>
  <si>
    <t>Bosentan 125 mg/12h -Sildenafil 20 mg/8h-Iloprost 6 ampollas por día</t>
  </si>
  <si>
    <t>Bosentan 125 mg/12h -Tadalafil 20 mg/12h-Iloprost 6 ampollas por día</t>
  </si>
  <si>
    <t>Ambrisentan 10 mg/24h -Sildenafil 20 mg/8h-Treprostinil 40 ng/kg/min</t>
  </si>
  <si>
    <t>Ambrisentan 10 mg/24h -Tadalafil 20 mg/12h-Treprostinil 40 ng/kg/min</t>
  </si>
  <si>
    <t>Ambrisentan 10 mg/24h -Sildenafil 20 mg/8h-Epoprostenol 20 ng/kg/min</t>
  </si>
  <si>
    <t>Ambrisentan 10 mg/24h -Tadalafil 20 mg/12h-Epoprostenol 20 ng/kg/min</t>
  </si>
  <si>
    <t>Ambrisentan 10 mg/24h -Sildenafil 20 mg/8h-Iloprost 6 ampollas por día</t>
  </si>
  <si>
    <t>Ambrisentan 10 mg/24h -Tadalafil 20 mg/12h-Iloprost 6 ampollas por día</t>
  </si>
  <si>
    <t>Macitentan  10 mg/12h -Sildenafil 20 mg/8h-Treprostinil 40 ng/kg/min</t>
  </si>
  <si>
    <t>Macitentan  10 mg/12h -Tadalafil 20 mg/12h-Treprostinil 40 ng/kg/min</t>
  </si>
  <si>
    <t>Macitentan  10 mg/12h -Sildenafil 20 mg/8h-Epoprostenol 20 ng/kg/min</t>
  </si>
  <si>
    <t>Macitentan  10 mg/12h -Tadalafil 20 mg/12h-Epoprostenol 20 ng/kg/min</t>
  </si>
  <si>
    <t>Macitentan  10 mg/12h -Sildenafil 20 mg/8h-Iloprost 6 ampollas por día</t>
  </si>
  <si>
    <t>Macitentan  10 mg/12h -Tadalafil 20 mg/12h-Iloprost 6 ampollas por día</t>
  </si>
  <si>
    <t>Bosentan 125 mg/12h -Riociguat 2,5 mg/8h-Treprostinil 40 ng/kg/min</t>
  </si>
  <si>
    <t>Bosentan 125 mg/12h -Riociguat 2,5 mg/8h-Epoprostenol 20 ng/kg/min</t>
  </si>
  <si>
    <t>Bosentan 125 mg/12h -Riociguat 2,5 mg/8h-Iloprost 6 ampollas por día</t>
  </si>
  <si>
    <t>Ambrisentan 10 mg/24h -Riociguat 2,5 mg/8h-Treprostinil 40 ng/kg/min</t>
  </si>
  <si>
    <t>Ambrisentan 10 mg/24h -Riociguat 2,5 mg/8h-Epoprostenol 20 ng/kg/min</t>
  </si>
  <si>
    <t>Ambrisentan 10 mg/24h -Riociguat 2,5 mg/8h-Iloprost 6 ampollas por día</t>
  </si>
  <si>
    <t>Macitentan  10 mg/12h -Riociguat 2,5 mg/8h-Treprostinil 40 ng/kg/min</t>
  </si>
  <si>
    <t>Macitentan  10 mg/12h -Riociguat 2,5 mg/8h-Epoprostenol 20 ng/kg/min</t>
  </si>
  <si>
    <t>Macitentan  10 mg/12h -Riociguat 2,5 mg/8h-Iloprost 6 ampollas por día</t>
  </si>
  <si>
    <t>RESPITE-Switch iPDE5 a RIO+ERA</t>
  </si>
  <si>
    <t>Combinación ERA-iPDE5-Prostanoide: TRITON</t>
  </si>
  <si>
    <t>REPLACE- Switch iPDE5 a RIO+ERA</t>
  </si>
  <si>
    <t>|</t>
  </si>
  <si>
    <t>Clase funcional II</t>
  </si>
  <si>
    <t>Saturacion de oxigeno</t>
  </si>
  <si>
    <t>Transplante</t>
  </si>
  <si>
    <t>Infecciones (Neumonia)</t>
  </si>
  <si>
    <t xml:space="preserve">Infecciones (No Neumonía) </t>
  </si>
  <si>
    <t>Tromboanderectomia pulmonar</t>
  </si>
  <si>
    <t>Angioplsita pulmonar</t>
  </si>
  <si>
    <t xml:space="preserve">Infusión fentanilo </t>
  </si>
  <si>
    <t>Costo (directos) del tratamiento</t>
  </si>
  <si>
    <t>Dosis (mg)</t>
  </si>
  <si>
    <t>Frecuencia (veces/día)</t>
  </si>
  <si>
    <t>Total dosis día</t>
  </si>
  <si>
    <t>Frecuencia/Mes</t>
  </si>
  <si>
    <t>Frecuencia/Año</t>
  </si>
  <si>
    <t>Precio mg (USD)</t>
  </si>
  <si>
    <t>Costo tratamiento mes (USD)</t>
  </si>
  <si>
    <t>Costo tratamiento año (USD)</t>
  </si>
  <si>
    <t xml:space="preserve">Bosentan </t>
  </si>
  <si>
    <t>Tadalafilo</t>
  </si>
  <si>
    <t>Iloprost (ampollas)</t>
  </si>
  <si>
    <t>Riociguat + Bosentan*</t>
  </si>
  <si>
    <t>Tadalafilo + Bosentan</t>
  </si>
  <si>
    <t>Macitentan + sildenafilo</t>
  </si>
  <si>
    <t>Bosentan + Iloprost</t>
  </si>
  <si>
    <t>Ambrisentan + Sildelafilo</t>
  </si>
  <si>
    <t>Ambrisentan + Tadalafil</t>
  </si>
  <si>
    <t>Ambrisentan + Riociguat</t>
  </si>
  <si>
    <t>Iloprost + Bosentan</t>
  </si>
  <si>
    <t>Bosentan + Sildenafil</t>
  </si>
  <si>
    <t>Riociguat + Iloprost</t>
  </si>
  <si>
    <t>Bosentan + Tadalafil + Iloprost</t>
  </si>
  <si>
    <t>Ambrisentan + Sildenafilo + Iloprost</t>
  </si>
  <si>
    <t>Macitentan + Sildenafilo + Iloprost</t>
  </si>
  <si>
    <t>Ambrisentan + Riociguat + Iloprost</t>
  </si>
  <si>
    <t>Bosentan + Riociguat + Iloprost*</t>
  </si>
  <si>
    <t>Macitentan + Riociguat + Iloprost</t>
  </si>
  <si>
    <t>Distribución de la cohorte por categoria de riesgo</t>
  </si>
  <si>
    <t>% versus el total</t>
  </si>
  <si>
    <t>Costo procedimientos anual de uso por paciente</t>
  </si>
  <si>
    <t>Costo complicaciones anual por paciente</t>
  </si>
  <si>
    <t>% paciente crítico versis promedio costo total paciente</t>
  </si>
  <si>
    <t>Costo anual de tecnologías por paciente año</t>
  </si>
  <si>
    <t>Costo TOTAL por paciente</t>
  </si>
  <si>
    <t>Representación tecnologías vs total</t>
  </si>
  <si>
    <t>Representación procedimientos vs total</t>
  </si>
  <si>
    <t>Representación complicaciones vs total</t>
  </si>
  <si>
    <t xml:space="preserve">COHORTE </t>
  </si>
  <si>
    <t>Número de pacientes con complicaciones de la cohorte</t>
  </si>
  <si>
    <t xml:space="preserve">Costo de complicaciones de la cohorte </t>
  </si>
  <si>
    <t>Costo de la cohorte</t>
  </si>
  <si>
    <t>Grupo l</t>
  </si>
  <si>
    <t xml:space="preserve">Oxígeno </t>
  </si>
  <si>
    <t xml:space="preserve">Diurético </t>
  </si>
  <si>
    <t>Hidroclorotiazida</t>
  </si>
  <si>
    <t>Furosemida</t>
  </si>
  <si>
    <t>Espironolactona</t>
  </si>
  <si>
    <t>Digoxina</t>
  </si>
  <si>
    <t>Bloqueadores de los canales del calcio</t>
  </si>
  <si>
    <t xml:space="preserve"> $             -  </t>
  </si>
  <si>
    <t xml:space="preserve"> $                 -  </t>
  </si>
  <si>
    <t>Nifedipina</t>
  </si>
  <si>
    <t>Warfarina</t>
  </si>
  <si>
    <t>Grupo IV</t>
  </si>
  <si>
    <t xml:space="preserve">Riociguat + selexipag </t>
  </si>
  <si>
    <t>ERA + iPDE5 + selexipag</t>
  </si>
  <si>
    <t>ERA + Riociguat + Selexipag</t>
  </si>
  <si>
    <r>
      <rPr>
        <b/>
        <sz val="20"/>
        <color theme="1"/>
        <rFont val="Arial"/>
        <family val="2"/>
      </rPr>
      <t>1.</t>
    </r>
    <r>
      <rPr>
        <sz val="20"/>
        <color theme="1"/>
        <rFont val="Arial"/>
        <family val="2"/>
      </rPr>
      <t xml:space="preserve"> Debe registrar la cohorte de pacientes de la institución</t>
    </r>
  </si>
  <si>
    <r>
      <rPr>
        <b/>
        <sz val="20"/>
        <color theme="1"/>
        <rFont val="Arial"/>
        <family val="2"/>
      </rPr>
      <t>2.</t>
    </r>
    <r>
      <rPr>
        <sz val="20"/>
        <color theme="1"/>
        <rFont val="Arial"/>
        <family val="2"/>
      </rPr>
      <t xml:space="preserve"> La cohorte según la literatura o con datos de la institución, se distribuirá según la proporción de pacientes por cada categoria de riesgo</t>
    </r>
  </si>
  <si>
    <r>
      <rPr>
        <b/>
        <sz val="20"/>
        <color theme="1"/>
        <rFont val="Arial"/>
        <family val="2"/>
      </rPr>
      <t xml:space="preserve">3. </t>
    </r>
    <r>
      <rPr>
        <sz val="20"/>
        <color theme="1"/>
        <rFont val="Arial"/>
        <family val="2"/>
      </rPr>
      <t xml:space="preserve">Se asignara un costo de procedimientos, costo de complicaciones y uso de terapias por cada categoria de riesgo por paciente, la cual se ajustará a la proporción de pacientes distribuidos de la cohorte total </t>
    </r>
  </si>
  <si>
    <r>
      <rPr>
        <b/>
        <sz val="20"/>
        <color theme="1"/>
        <rFont val="Arial"/>
        <family val="2"/>
      </rPr>
      <t xml:space="preserve">4. </t>
    </r>
    <r>
      <rPr>
        <sz val="20"/>
        <color theme="1"/>
        <rFont val="Arial"/>
        <family val="2"/>
      </rPr>
      <t>El porcentaje de uso de tecnologías (Mono, Doble y Triple terapia) podrá ser modificado según la realidad de cada institución</t>
    </r>
  </si>
  <si>
    <r>
      <rPr>
        <b/>
        <sz val="20"/>
        <color theme="1"/>
        <rFont val="Arial"/>
        <family val="2"/>
      </rPr>
      <t>5.</t>
    </r>
    <r>
      <rPr>
        <sz val="20"/>
        <color theme="1"/>
        <rFont val="Arial"/>
        <family val="2"/>
      </rPr>
      <t xml:space="preserve"> Los factores modificadores, podrán ser modificados según el tipo de apoyo que se brinde desde Bayer </t>
    </r>
  </si>
  <si>
    <r>
      <rPr>
        <b/>
        <sz val="16"/>
        <color theme="1"/>
        <rFont val="Arial"/>
        <family val="2"/>
      </rPr>
      <t xml:space="preserve">1. </t>
    </r>
    <r>
      <rPr>
        <sz val="16"/>
        <color theme="1"/>
        <rFont val="Arial"/>
        <family val="2"/>
      </rPr>
      <t xml:space="preserve">Esta escala se debería usar para evaluar el riesgo de mortalidad al momento del diagnóstico, 3-6 meses después de cambio de terapia, cada 3-6 meses en pacientes estables y en caso de empeoramiento clínico. </t>
    </r>
  </si>
  <si>
    <r>
      <rPr>
        <b/>
        <sz val="16"/>
        <color theme="1"/>
        <rFont val="Arial"/>
        <family val="2"/>
      </rPr>
      <t>2.</t>
    </r>
    <r>
      <rPr>
        <sz val="16"/>
        <color theme="1"/>
        <rFont val="Arial"/>
        <family val="2"/>
      </rPr>
      <t xml:space="preserve"> Se tienen en cuenta 3 variables principales para la clasificación de riesgo </t>
    </r>
  </si>
  <si>
    <r>
      <rPr>
        <b/>
        <sz val="16"/>
        <color theme="1"/>
        <rFont val="Arial"/>
        <family val="2"/>
      </rPr>
      <t xml:space="preserve">2.1. </t>
    </r>
    <r>
      <rPr>
        <sz val="16"/>
        <color theme="1"/>
        <rFont val="Arial"/>
        <family val="2"/>
      </rPr>
      <t>Clase funcional según la OMS*</t>
    </r>
  </si>
  <si>
    <r>
      <rPr>
        <b/>
        <sz val="16"/>
        <color theme="1"/>
        <rFont val="Arial"/>
        <family val="2"/>
      </rPr>
      <t>2.2.</t>
    </r>
    <r>
      <rPr>
        <sz val="16"/>
        <color theme="1"/>
        <rFont val="Arial"/>
        <family val="2"/>
      </rPr>
      <t xml:space="preserve"> Distancia en la prueba de camina de 6 minutos</t>
    </r>
  </si>
  <si>
    <r>
      <rPr>
        <b/>
        <sz val="16"/>
        <color theme="1"/>
        <rFont val="Arial"/>
        <family val="2"/>
      </rPr>
      <t xml:space="preserve">2.3. </t>
    </r>
    <r>
      <rPr>
        <sz val="16"/>
        <color theme="1"/>
        <rFont val="Arial"/>
        <family val="2"/>
      </rPr>
      <t>Niveles séricos de NT-proBNP o BNP</t>
    </r>
  </si>
  <si>
    <r>
      <rPr>
        <b/>
        <sz val="16"/>
        <color theme="1"/>
        <rFont val="Arial"/>
        <family val="2"/>
      </rPr>
      <t xml:space="preserve">1. </t>
    </r>
    <r>
      <rPr>
        <sz val="16"/>
        <color theme="1"/>
        <rFont val="Arial"/>
        <family val="2"/>
      </rPr>
      <t xml:space="preserve">El modelo contempla que la cohorte se divide en las categorias de riesgo, sumando el total de los pacientes diagnosticados con HTP Grupo I + Grupo IV </t>
    </r>
  </si>
  <si>
    <r>
      <rPr>
        <b/>
        <sz val="16"/>
        <color theme="1"/>
        <rFont val="Arial"/>
        <family val="2"/>
      </rPr>
      <t>2.</t>
    </r>
    <r>
      <rPr>
        <sz val="16"/>
        <color theme="1"/>
        <rFont val="Arial"/>
        <family val="2"/>
      </rPr>
      <t xml:space="preserve"> La suma de la proporción de pacientes debe ser igual a 100% y la suma de pacientes debe ser igual al número total de la cohorte </t>
    </r>
  </si>
  <si>
    <r>
      <rPr>
        <b/>
        <sz val="16"/>
        <color theme="1"/>
        <rFont val="Arial"/>
        <family val="2"/>
      </rPr>
      <t>3.</t>
    </r>
    <r>
      <rPr>
        <sz val="16"/>
        <color theme="1"/>
        <rFont val="Arial"/>
        <family val="2"/>
      </rPr>
      <t xml:space="preserve"> La distribución de pacientes es la base de las estimaciones económicas</t>
    </r>
  </si>
  <si>
    <r>
      <rPr>
        <b/>
        <sz val="16"/>
        <color theme="1"/>
        <rFont val="Arial"/>
        <family val="2"/>
      </rPr>
      <t xml:space="preserve">1. </t>
    </r>
    <r>
      <rPr>
        <sz val="16"/>
        <color theme="1"/>
        <rFont val="Arial"/>
        <family val="2"/>
      </rPr>
      <t xml:space="preserve">Comienzo temprano de terapia doble con Riociguat </t>
    </r>
  </si>
  <si>
    <r>
      <rPr>
        <b/>
        <sz val="16"/>
        <color theme="1"/>
        <rFont val="Arial"/>
        <family val="2"/>
      </rPr>
      <t>2.</t>
    </r>
    <r>
      <rPr>
        <sz val="16"/>
        <color theme="1"/>
        <rFont val="Arial"/>
        <family val="2"/>
      </rPr>
      <t xml:space="preserve"> Valores agregados</t>
    </r>
  </si>
  <si>
    <r>
      <rPr>
        <b/>
        <sz val="16"/>
        <color theme="1"/>
        <rFont val="Arial"/>
        <family val="2"/>
      </rPr>
      <t xml:space="preserve">2.1. </t>
    </r>
    <r>
      <rPr>
        <sz val="16"/>
        <color theme="1"/>
        <rFont val="Arial"/>
        <family val="2"/>
      </rPr>
      <t xml:space="preserve">Ahorro con el PSP </t>
    </r>
  </si>
  <si>
    <r>
      <rPr>
        <b/>
        <sz val="16"/>
        <color theme="1"/>
        <rFont val="Arial"/>
        <family val="2"/>
      </rPr>
      <t>2.2.</t>
    </r>
    <r>
      <rPr>
        <sz val="16"/>
        <color theme="1"/>
        <rFont val="Arial"/>
        <family val="2"/>
      </rPr>
      <t xml:space="preserve"> Ahorro con la bonificación/titulación </t>
    </r>
  </si>
  <si>
    <r>
      <rPr>
        <b/>
        <sz val="16"/>
        <rFont val="Arial"/>
        <family val="2"/>
      </rPr>
      <t xml:space="preserve">2. </t>
    </r>
    <r>
      <rPr>
        <sz val="16"/>
        <rFont val="Arial"/>
        <family val="2"/>
      </rPr>
      <t>Valor del costo evitables con terapia innovadoras</t>
    </r>
  </si>
  <si>
    <r>
      <rPr>
        <b/>
        <sz val="16"/>
        <rFont val="Arial"/>
        <family val="2"/>
      </rPr>
      <t>3.</t>
    </r>
    <r>
      <rPr>
        <sz val="16"/>
        <rFont val="Arial"/>
        <family val="2"/>
      </rPr>
      <t xml:space="preserve"> Proporción de pacientes  con uso de genéricos y la proporción que se descompensan versus pacientes en manejo con Adempas® </t>
    </r>
  </si>
  <si>
    <r>
      <rPr>
        <b/>
        <sz val="16"/>
        <color theme="1"/>
        <rFont val="Calibri Light"/>
        <family val="2"/>
        <scheme val="major"/>
      </rPr>
      <t xml:space="preserve">Ventavis 10mcg: </t>
    </r>
    <r>
      <rPr>
        <sz val="16"/>
        <color theme="1"/>
        <rFont val="Calibri Light"/>
        <family val="2"/>
        <scheme val="major"/>
      </rPr>
      <t xml:space="preserve">cada sesion de nebulización contiene 2,5 mcg de Iloprost. 
</t>
    </r>
    <r>
      <rPr>
        <b/>
        <sz val="16"/>
        <color theme="1"/>
        <rFont val="Calibri Light"/>
        <family val="2"/>
        <scheme val="major"/>
      </rPr>
      <t>Ventavis 20:</t>
    </r>
    <r>
      <rPr>
        <sz val="16"/>
        <color theme="1"/>
        <rFont val="Calibri Light"/>
        <family val="2"/>
        <scheme val="major"/>
      </rPr>
      <t xml:space="preserve"> cada sesión de inhalación contiene 5,0 mcg de Iloprost.                
</t>
    </r>
    <r>
      <rPr>
        <b/>
        <sz val="16"/>
        <color theme="1"/>
        <rFont val="Calibri Light"/>
        <family val="2"/>
        <scheme val="major"/>
      </rPr>
      <t xml:space="preserve">Sesiones de nebulización x dia: </t>
    </r>
    <r>
      <rPr>
        <sz val="16"/>
        <color theme="1"/>
        <rFont val="Calibri Light"/>
        <family val="2"/>
        <scheme val="major"/>
      </rPr>
      <t>entre 6 y 9</t>
    </r>
  </si>
  <si>
    <t>Dato fijo o Evidencia Clínica/Dato económico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</si>
</sst>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6" formatCode="&quot;$&quot;\ #,##0;[Red]\-&quot;$&quot;\ #,##0"/>
    <numFmt numFmtId="8" formatCode="&quot;$&quot;\ #,##0.00;[Red]\-&quot;$&quot;\ #,##0.00"/>
    <numFmt numFmtId="44" formatCode="_-&quot;$&quot;\ * #,##0.00_-;\-&quot;$&quot;\ * #,##0.00_-;_-&quot;$&quot;\ * &quot;-&quot;??_-;_-@_-"/>
    <numFmt numFmtId="43" formatCode="_-* #,##0.00_-;\-* #,##0.00_-;_-* &quot;-&quot;??_-;_-@_-"/>
    <numFmt numFmtId="164" formatCode="_-* #,##0.00\ _€_-;\-* #,##0.00\ _€_-;_-* &quot;-&quot;??\ _€_-;_-@_-"/>
    <numFmt numFmtId="165" formatCode="_-[$$-240A]\ * #,##0.00_-;\-[$$-240A]\ * #,##0.00_-;_-[$$-240A]\ * &quot;-&quot;??_-;_-@_-"/>
    <numFmt numFmtId="166" formatCode="_-&quot;$&quot;\ * #,##0_-;\-&quot;$&quot;\ * #,##0_-;_-&quot;$&quot;\ * &quot;-&quot;??_-;_-@_-"/>
    <numFmt numFmtId="167" formatCode="_-[$$-240A]\ * #,##0_-;\-[$$-240A]\ * #,##0_-;_-[$$-240A]\ * &quot;-&quot;??_-;_-@_-"/>
    <numFmt numFmtId="168" formatCode="0.0%"/>
    <numFmt numFmtId="169" formatCode="0.0"/>
    <numFmt numFmtId="170" formatCode="0.000"/>
  </numFmts>
  <fonts count="34" x14ac:knownFonts="1">
    <font>
      <sz val="11"/>
      <color theme="1"/>
      <name val="Arial"/>
      <family val="2"/>
    </font>
    <font>
      <sz val="11"/>
      <color theme="1"/>
      <name val="Arial"/>
      <family val="2"/>
    </font>
    <font>
      <sz val="11"/>
      <color rgb="FFFF0000"/>
      <name val="Arial"/>
      <family val="2"/>
    </font>
    <font>
      <sz val="11"/>
      <color theme="3" tint="0.39997558519241921"/>
      <name val="Arial"/>
      <family val="2"/>
    </font>
    <font>
      <sz val="11"/>
      <name val="Arial"/>
      <family val="2"/>
    </font>
    <font>
      <b/>
      <sz val="20"/>
      <color theme="1"/>
      <name val="Arial"/>
      <family val="2"/>
    </font>
    <font>
      <sz val="20"/>
      <color theme="1"/>
      <name val="Arial"/>
      <family val="2"/>
    </font>
    <font>
      <b/>
      <sz val="11"/>
      <color theme="1"/>
      <name val="Arial"/>
      <family val="2"/>
    </font>
    <font>
      <b/>
      <sz val="14"/>
      <color theme="1"/>
      <name val="Arial"/>
      <family val="2"/>
    </font>
    <font>
      <b/>
      <sz val="14"/>
      <color rgb="FFC00000"/>
      <name val="Calibri"/>
      <family val="2"/>
    </font>
    <font>
      <u/>
      <sz val="11"/>
      <color theme="10"/>
      <name val="Arial"/>
      <family val="2"/>
    </font>
    <font>
      <b/>
      <sz val="16"/>
      <color theme="1"/>
      <name val="Arial"/>
      <family val="2"/>
    </font>
    <font>
      <b/>
      <sz val="18"/>
      <color theme="1"/>
      <name val="Arial"/>
      <family val="2"/>
    </font>
    <font>
      <sz val="16"/>
      <color theme="1"/>
      <name val="Arial"/>
      <family val="2"/>
    </font>
    <font>
      <b/>
      <sz val="18"/>
      <color rgb="FFFF0000"/>
      <name val="Arial"/>
      <family val="2"/>
    </font>
    <font>
      <sz val="18"/>
      <color theme="1"/>
      <name val="Arial"/>
      <family val="2"/>
    </font>
    <font>
      <sz val="11"/>
      <color theme="0"/>
      <name val="Arial"/>
      <family val="2"/>
    </font>
    <font>
      <b/>
      <sz val="28"/>
      <color theme="1"/>
      <name val="Arial"/>
      <family val="2"/>
    </font>
    <font>
      <sz val="14"/>
      <color theme="1"/>
      <name val="Arial"/>
      <family val="2"/>
    </font>
    <font>
      <b/>
      <sz val="36"/>
      <color theme="5"/>
      <name val="Arial"/>
      <family val="2"/>
    </font>
    <font>
      <b/>
      <sz val="18"/>
      <color theme="5"/>
      <name val="Arial"/>
      <family val="2"/>
    </font>
    <font>
      <b/>
      <sz val="16"/>
      <color theme="5"/>
      <name val="Arial"/>
      <family val="2"/>
    </font>
    <font>
      <b/>
      <sz val="16"/>
      <color rgb="FFED5511"/>
      <name val="Arial"/>
      <family val="2"/>
    </font>
    <font>
      <sz val="16"/>
      <name val="Arial"/>
      <family val="2"/>
    </font>
    <font>
      <b/>
      <sz val="16"/>
      <name val="Arial"/>
      <family val="2"/>
    </font>
    <font>
      <u/>
      <sz val="16"/>
      <color theme="10"/>
      <name val="Arial"/>
      <family val="2"/>
    </font>
    <font>
      <sz val="9"/>
      <color theme="1"/>
      <name val="Segoe UI"/>
      <family val="2"/>
    </font>
    <font>
      <sz val="10"/>
      <color theme="1"/>
      <name val="Segoe UI"/>
      <family val="2"/>
    </font>
    <font>
      <u val="singleAccounting"/>
      <sz val="11"/>
      <color theme="1"/>
      <name val="Arial"/>
      <family val="2"/>
    </font>
    <font>
      <sz val="16"/>
      <color rgb="FFFF0000"/>
      <name val="Arial"/>
      <family val="2"/>
    </font>
    <font>
      <b/>
      <sz val="16"/>
      <color theme="1"/>
      <name val="Calibri Light"/>
      <family val="2"/>
      <scheme val="major"/>
    </font>
    <font>
      <sz val="16"/>
      <color theme="1"/>
      <name val="Calibri Light"/>
      <family val="2"/>
      <scheme val="major"/>
    </font>
    <font>
      <b/>
      <sz val="16"/>
      <color theme="0"/>
      <name val="Calibri Light"/>
      <family val="2"/>
      <scheme val="major"/>
    </font>
    <font>
      <b/>
      <sz val="16"/>
      <color theme="0"/>
      <name val="Arial"/>
      <family val="2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8971D"/>
        <bgColor indexed="64"/>
      </patternFill>
    </fill>
    <fill>
      <patternFill patternType="solid">
        <fgColor rgb="FFFEF0DE"/>
        <bgColor indexed="64"/>
      </patternFill>
    </fill>
    <fill>
      <patternFill patternType="solid">
        <fgColor theme="0" tint="-4.9989318521683403E-2"/>
        <bgColor indexed="64"/>
      </patternFill>
    </fill>
  </fills>
  <borders count="50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</borders>
  <cellStyleXfs count="6">
    <xf numFmtId="0" fontId="0" fillId="0" borderId="0"/>
    <xf numFmtId="164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10" fillId="0" borderId="0" applyNumberFormat="0" applyFill="0" applyBorder="0" applyAlignment="0" applyProtection="0"/>
    <xf numFmtId="43" fontId="1" fillId="0" borderId="0" applyFont="0" applyFill="0" applyBorder="0" applyAlignment="0" applyProtection="0"/>
  </cellStyleXfs>
  <cellXfs count="410">
    <xf numFmtId="0" fontId="0" fillId="0" borderId="0" xfId="0"/>
    <xf numFmtId="0" fontId="2" fillId="0" borderId="0" xfId="0" applyFont="1"/>
    <xf numFmtId="0" fontId="3" fillId="0" borderId="0" xfId="0" applyFont="1"/>
    <xf numFmtId="8" fontId="0" fillId="0" borderId="0" xfId="0" applyNumberFormat="1"/>
    <xf numFmtId="6" fontId="0" fillId="0" borderId="0" xfId="0" applyNumberFormat="1"/>
    <xf numFmtId="0" fontId="0" fillId="0" borderId="0" xfId="0" applyAlignment="1">
      <alignment wrapText="1"/>
    </xf>
    <xf numFmtId="0" fontId="0" fillId="2" borderId="0" xfId="0" applyFill="1"/>
    <xf numFmtId="0" fontId="0" fillId="2" borderId="0" xfId="0" applyFill="1" applyAlignment="1">
      <alignment wrapText="1"/>
    </xf>
    <xf numFmtId="0" fontId="2" fillId="0" borderId="0" xfId="0" applyFont="1" applyAlignment="1">
      <alignment wrapText="1"/>
    </xf>
    <xf numFmtId="0" fontId="4" fillId="2" borderId="0" xfId="0" applyFont="1" applyFill="1"/>
    <xf numFmtId="0" fontId="4" fillId="2" borderId="0" xfId="0" applyFont="1" applyFill="1" applyAlignment="1">
      <alignment wrapText="1"/>
    </xf>
    <xf numFmtId="0" fontId="5" fillId="0" borderId="0" xfId="0" applyFont="1"/>
    <xf numFmtId="0" fontId="6" fillId="0" borderId="0" xfId="0" applyFont="1"/>
    <xf numFmtId="0" fontId="8" fillId="0" borderId="0" xfId="0" applyFont="1"/>
    <xf numFmtId="0" fontId="12" fillId="0" borderId="0" xfId="0" applyFont="1"/>
    <xf numFmtId="0" fontId="0" fillId="0" borderId="4" xfId="0" applyBorder="1"/>
    <xf numFmtId="0" fontId="13" fillId="0" borderId="0" xfId="0" applyFont="1"/>
    <xf numFmtId="0" fontId="7" fillId="0" borderId="4" xfId="0" applyFont="1" applyBorder="1" applyAlignment="1">
      <alignment horizontal="center" vertical="center"/>
    </xf>
    <xf numFmtId="0" fontId="7" fillId="0" borderId="12" xfId="0" applyFont="1" applyBorder="1" applyAlignment="1">
      <alignment horizontal="center" vertical="center"/>
    </xf>
    <xf numFmtId="0" fontId="0" fillId="0" borderId="13" xfId="0" applyBorder="1"/>
    <xf numFmtId="9" fontId="0" fillId="0" borderId="0" xfId="0" applyNumberFormat="1"/>
    <xf numFmtId="165" fontId="0" fillId="0" borderId="0" xfId="0" applyNumberFormat="1"/>
    <xf numFmtId="0" fontId="12" fillId="0" borderId="4" xfId="0" applyFont="1" applyBorder="1"/>
    <xf numFmtId="165" fontId="0" fillId="0" borderId="4" xfId="0" applyNumberFormat="1" applyBorder="1"/>
    <xf numFmtId="0" fontId="4" fillId="0" borderId="4" xfId="0" applyFont="1" applyBorder="1" applyAlignment="1">
      <alignment wrapText="1"/>
    </xf>
    <xf numFmtId="0" fontId="2" fillId="0" borderId="4" xfId="0" applyFont="1" applyBorder="1"/>
    <xf numFmtId="0" fontId="0" fillId="0" borderId="4" xfId="0" applyBorder="1" applyAlignment="1">
      <alignment wrapText="1"/>
    </xf>
    <xf numFmtId="0" fontId="0" fillId="2" borderId="4" xfId="0" applyFill="1" applyBorder="1"/>
    <xf numFmtId="0" fontId="0" fillId="0" borderId="8" xfId="0" applyBorder="1"/>
    <xf numFmtId="0" fontId="0" fillId="0" borderId="9" xfId="0" applyBorder="1"/>
    <xf numFmtId="0" fontId="12" fillId="0" borderId="9" xfId="0" applyFont="1" applyBorder="1"/>
    <xf numFmtId="0" fontId="8" fillId="0" borderId="10" xfId="0" applyFont="1" applyBorder="1"/>
    <xf numFmtId="0" fontId="0" fillId="0" borderId="11" xfId="0" applyBorder="1"/>
    <xf numFmtId="0" fontId="0" fillId="0" borderId="12" xfId="0" applyBorder="1"/>
    <xf numFmtId="165" fontId="0" fillId="0" borderId="12" xfId="0" applyNumberFormat="1" applyBorder="1"/>
    <xf numFmtId="165" fontId="0" fillId="2" borderId="12" xfId="0" applyNumberFormat="1" applyFill="1" applyBorder="1"/>
    <xf numFmtId="0" fontId="0" fillId="0" borderId="14" xfId="0" applyBorder="1"/>
    <xf numFmtId="165" fontId="0" fillId="2" borderId="15" xfId="0" applyNumberFormat="1" applyFill="1" applyBorder="1"/>
    <xf numFmtId="0" fontId="12" fillId="0" borderId="7" xfId="0" applyFont="1" applyBorder="1" applyAlignment="1">
      <alignment horizontal="center" vertical="center"/>
    </xf>
    <xf numFmtId="3" fontId="0" fillId="0" borderId="4" xfId="0" applyNumberFormat="1" applyBorder="1"/>
    <xf numFmtId="8" fontId="0" fillId="0" borderId="4" xfId="0" applyNumberFormat="1" applyBorder="1"/>
    <xf numFmtId="6" fontId="0" fillId="0" borderId="4" xfId="0" applyNumberFormat="1" applyBorder="1"/>
    <xf numFmtId="4" fontId="0" fillId="0" borderId="4" xfId="0" applyNumberFormat="1" applyBorder="1"/>
    <xf numFmtId="0" fontId="12" fillId="0" borderId="8" xfId="0" applyFont="1" applyBorder="1"/>
    <xf numFmtId="0" fontId="0" fillId="0" borderId="10" xfId="0" applyBorder="1"/>
    <xf numFmtId="0" fontId="0" fillId="0" borderId="11" xfId="0" applyBorder="1" applyAlignment="1">
      <alignment wrapText="1"/>
    </xf>
    <xf numFmtId="0" fontId="12" fillId="0" borderId="11" xfId="0" applyFont="1" applyBorder="1"/>
    <xf numFmtId="8" fontId="0" fillId="0" borderId="12" xfId="0" applyNumberFormat="1" applyBorder="1"/>
    <xf numFmtId="9" fontId="0" fillId="0" borderId="0" xfId="3" applyFont="1" applyAlignment="1">
      <alignment wrapText="1"/>
    </xf>
    <xf numFmtId="9" fontId="0" fillId="0" borderId="4" xfId="3" applyFont="1" applyBorder="1" applyAlignment="1">
      <alignment wrapText="1"/>
    </xf>
    <xf numFmtId="9" fontId="12" fillId="0" borderId="4" xfId="3" applyFont="1" applyBorder="1"/>
    <xf numFmtId="165" fontId="0" fillId="2" borderId="0" xfId="0" applyNumberFormat="1" applyFill="1"/>
    <xf numFmtId="0" fontId="12" fillId="0" borderId="0" xfId="0" applyFont="1" applyAlignment="1">
      <alignment horizontal="center" vertical="center"/>
    </xf>
    <xf numFmtId="165" fontId="0" fillId="0" borderId="19" xfId="0" applyNumberFormat="1" applyBorder="1"/>
    <xf numFmtId="0" fontId="12" fillId="0" borderId="0" xfId="0" applyFont="1" applyAlignment="1">
      <alignment horizontal="center"/>
    </xf>
    <xf numFmtId="0" fontId="14" fillId="0" borderId="0" xfId="0" applyFont="1" applyAlignment="1">
      <alignment horizontal="center"/>
    </xf>
    <xf numFmtId="0" fontId="12" fillId="0" borderId="10" xfId="0" applyFont="1" applyBorder="1"/>
    <xf numFmtId="8" fontId="0" fillId="0" borderId="11" xfId="0" applyNumberFormat="1" applyBorder="1"/>
    <xf numFmtId="8" fontId="0" fillId="0" borderId="13" xfId="0" applyNumberFormat="1" applyBorder="1"/>
    <xf numFmtId="8" fontId="0" fillId="0" borderId="14" xfId="0" applyNumberFormat="1" applyBorder="1"/>
    <xf numFmtId="8" fontId="0" fillId="0" borderId="15" xfId="0" applyNumberFormat="1" applyBorder="1"/>
    <xf numFmtId="165" fontId="11" fillId="5" borderId="14" xfId="0" applyNumberFormat="1" applyFont="1" applyFill="1" applyBorder="1"/>
    <xf numFmtId="165" fontId="11" fillId="5" borderId="15" xfId="0" applyNumberFormat="1" applyFont="1" applyFill="1" applyBorder="1"/>
    <xf numFmtId="0" fontId="0" fillId="0" borderId="23" xfId="0" applyBorder="1"/>
    <xf numFmtId="0" fontId="0" fillId="0" borderId="21" xfId="0" applyBorder="1"/>
    <xf numFmtId="0" fontId="0" fillId="0" borderId="24" xfId="0" applyBorder="1"/>
    <xf numFmtId="165" fontId="0" fillId="0" borderId="24" xfId="0" applyNumberFormat="1" applyBorder="1"/>
    <xf numFmtId="165" fontId="11" fillId="5" borderId="25" xfId="0" applyNumberFormat="1" applyFont="1" applyFill="1" applyBorder="1"/>
    <xf numFmtId="0" fontId="0" fillId="0" borderId="26" xfId="0" applyBorder="1"/>
    <xf numFmtId="9" fontId="12" fillId="0" borderId="1" xfId="0" applyNumberFormat="1" applyFont="1" applyBorder="1"/>
    <xf numFmtId="9" fontId="12" fillId="0" borderId="17" xfId="0" applyNumberFormat="1" applyFont="1" applyBorder="1"/>
    <xf numFmtId="0" fontId="15" fillId="0" borderId="11" xfId="0" applyFont="1" applyBorder="1"/>
    <xf numFmtId="0" fontId="15" fillId="0" borderId="4" xfId="0" applyFont="1" applyBorder="1"/>
    <xf numFmtId="165" fontId="0" fillId="0" borderId="22" xfId="0" applyNumberFormat="1" applyBorder="1"/>
    <xf numFmtId="0" fontId="8" fillId="0" borderId="8" xfId="0" applyFont="1" applyBorder="1" applyAlignment="1">
      <alignment horizontal="center" vertical="center"/>
    </xf>
    <xf numFmtId="44" fontId="0" fillId="0" borderId="32" xfId="2" applyFont="1" applyFill="1" applyBorder="1"/>
    <xf numFmtId="166" fontId="0" fillId="0" borderId="0" xfId="2" applyNumberFormat="1" applyFont="1"/>
    <xf numFmtId="167" fontId="0" fillId="0" borderId="12" xfId="0" applyNumberFormat="1" applyBorder="1"/>
    <xf numFmtId="167" fontId="0" fillId="2" borderId="12" xfId="0" applyNumberFormat="1" applyFill="1" applyBorder="1"/>
    <xf numFmtId="165" fontId="10" fillId="0" borderId="0" xfId="4" applyNumberFormat="1" applyBorder="1"/>
    <xf numFmtId="167" fontId="0" fillId="6" borderId="4" xfId="0" applyNumberFormat="1" applyFill="1" applyBorder="1"/>
    <xf numFmtId="167" fontId="11" fillId="6" borderId="14" xfId="0" applyNumberFormat="1" applyFont="1" applyFill="1" applyBorder="1"/>
    <xf numFmtId="167" fontId="0" fillId="6" borderId="12" xfId="0" applyNumberFormat="1" applyFill="1" applyBorder="1"/>
    <xf numFmtId="167" fontId="11" fillId="6" borderId="15" xfId="0" applyNumberFormat="1" applyFont="1" applyFill="1" applyBorder="1"/>
    <xf numFmtId="0" fontId="16" fillId="0" borderId="0" xfId="0" applyFont="1"/>
    <xf numFmtId="0" fontId="8" fillId="0" borderId="9" xfId="0" applyFont="1" applyBorder="1" applyAlignment="1">
      <alignment horizontal="center" vertical="center" wrapText="1"/>
    </xf>
    <xf numFmtId="0" fontId="8" fillId="0" borderId="10" xfId="0" applyFont="1" applyBorder="1" applyAlignment="1">
      <alignment horizontal="center" vertical="center" wrapText="1"/>
    </xf>
    <xf numFmtId="9" fontId="13" fillId="4" borderId="4" xfId="3" applyFont="1" applyFill="1" applyBorder="1" applyAlignment="1">
      <alignment wrapText="1"/>
    </xf>
    <xf numFmtId="0" fontId="13" fillId="0" borderId="11" xfId="0" applyFont="1" applyBorder="1" applyAlignment="1">
      <alignment wrapText="1"/>
    </xf>
    <xf numFmtId="0" fontId="13" fillId="0" borderId="13" xfId="0" applyFont="1" applyBorder="1" applyAlignment="1">
      <alignment wrapText="1"/>
    </xf>
    <xf numFmtId="9" fontId="12" fillId="0" borderId="9" xfId="0" applyNumberFormat="1" applyFont="1" applyBorder="1"/>
    <xf numFmtId="0" fontId="8" fillId="0" borderId="0" xfId="0" applyFont="1" applyAlignment="1">
      <alignment horizontal="center" vertical="center" wrapText="1"/>
    </xf>
    <xf numFmtId="9" fontId="12" fillId="0" borderId="0" xfId="0" applyNumberFormat="1" applyFont="1"/>
    <xf numFmtId="9" fontId="13" fillId="0" borderId="0" xfId="3" applyFont="1"/>
    <xf numFmtId="167" fontId="0" fillId="6" borderId="14" xfId="0" applyNumberFormat="1" applyFill="1" applyBorder="1"/>
    <xf numFmtId="167" fontId="11" fillId="6" borderId="6" xfId="0" applyNumberFormat="1" applyFont="1" applyFill="1" applyBorder="1"/>
    <xf numFmtId="167" fontId="11" fillId="6" borderId="13" xfId="0" applyNumberFormat="1" applyFont="1" applyFill="1" applyBorder="1"/>
    <xf numFmtId="167" fontId="11" fillId="0" borderId="0" xfId="0" applyNumberFormat="1" applyFont="1"/>
    <xf numFmtId="0" fontId="17" fillId="0" borderId="30" xfId="0" applyFont="1" applyBorder="1" applyAlignment="1">
      <alignment horizontal="right" wrapText="1"/>
    </xf>
    <xf numFmtId="0" fontId="11" fillId="0" borderId="0" xfId="0" applyFont="1" applyAlignment="1">
      <alignment horizontal="right"/>
    </xf>
    <xf numFmtId="0" fontId="13" fillId="0" borderId="0" xfId="0" applyFont="1" applyAlignment="1">
      <alignment horizontal="right"/>
    </xf>
    <xf numFmtId="167" fontId="0" fillId="0" borderId="15" xfId="0" applyNumberFormat="1" applyBorder="1"/>
    <xf numFmtId="9" fontId="12" fillId="0" borderId="26" xfId="0" applyNumberFormat="1" applyFont="1" applyBorder="1"/>
    <xf numFmtId="0" fontId="12" fillId="0" borderId="16" xfId="0" applyFont="1" applyBorder="1"/>
    <xf numFmtId="9" fontId="12" fillId="0" borderId="38" xfId="0" applyNumberFormat="1" applyFont="1" applyBorder="1"/>
    <xf numFmtId="0" fontId="0" fillId="0" borderId="37" xfId="0" applyBorder="1"/>
    <xf numFmtId="0" fontId="0" fillId="0" borderId="18" xfId="0" applyBorder="1" applyAlignment="1">
      <alignment wrapText="1"/>
    </xf>
    <xf numFmtId="0" fontId="0" fillId="0" borderId="19" xfId="0" applyBorder="1" applyAlignment="1">
      <alignment wrapText="1"/>
    </xf>
    <xf numFmtId="0" fontId="0" fillId="0" borderId="22" xfId="0" applyBorder="1" applyAlignment="1">
      <alignment wrapText="1"/>
    </xf>
    <xf numFmtId="0" fontId="7" fillId="0" borderId="42" xfId="0" applyFont="1" applyBorder="1" applyAlignment="1">
      <alignment horizontal="center" vertical="center"/>
    </xf>
    <xf numFmtId="0" fontId="13" fillId="0" borderId="5" xfId="0" applyFont="1" applyBorder="1" applyAlignment="1">
      <alignment wrapText="1"/>
    </xf>
    <xf numFmtId="9" fontId="12" fillId="0" borderId="6" xfId="3" applyFont="1" applyBorder="1" applyAlignment="1">
      <alignment wrapText="1"/>
    </xf>
    <xf numFmtId="166" fontId="13" fillId="6" borderId="4" xfId="2" applyNumberFormat="1" applyFont="1" applyFill="1" applyBorder="1" applyAlignment="1">
      <alignment wrapText="1"/>
    </xf>
    <xf numFmtId="166" fontId="12" fillId="0" borderId="9" xfId="2" applyNumberFormat="1" applyFont="1" applyBorder="1"/>
    <xf numFmtId="166" fontId="12" fillId="0" borderId="0" xfId="2" applyNumberFormat="1" applyFont="1" applyFill="1" applyBorder="1"/>
    <xf numFmtId="166" fontId="13" fillId="6" borderId="12" xfId="2" applyNumberFormat="1" applyFont="1" applyFill="1" applyBorder="1" applyAlignment="1">
      <alignment wrapText="1"/>
    </xf>
    <xf numFmtId="166" fontId="13" fillId="0" borderId="0" xfId="2" applyNumberFormat="1" applyFont="1" applyFill="1" applyBorder="1" applyAlignment="1">
      <alignment wrapText="1"/>
    </xf>
    <xf numFmtId="166" fontId="12" fillId="0" borderId="38" xfId="2" applyNumberFormat="1" applyFont="1" applyBorder="1"/>
    <xf numFmtId="166" fontId="17" fillId="6" borderId="31" xfId="2" applyNumberFormat="1" applyFont="1" applyFill="1" applyBorder="1" applyAlignment="1">
      <alignment wrapText="1"/>
    </xf>
    <xf numFmtId="166" fontId="17" fillId="6" borderId="17" xfId="2" applyNumberFormat="1" applyFont="1" applyFill="1" applyBorder="1" applyAlignment="1">
      <alignment wrapText="1"/>
    </xf>
    <xf numFmtId="0" fontId="7" fillId="0" borderId="0" xfId="0" applyFont="1"/>
    <xf numFmtId="166" fontId="8" fillId="0" borderId="0" xfId="0" applyNumberFormat="1" applyFont="1"/>
    <xf numFmtId="9" fontId="13" fillId="4" borderId="38" xfId="3" applyFont="1" applyFill="1" applyBorder="1" applyAlignment="1">
      <alignment wrapText="1"/>
    </xf>
    <xf numFmtId="166" fontId="12" fillId="0" borderId="10" xfId="2" applyNumberFormat="1" applyFont="1" applyBorder="1"/>
    <xf numFmtId="166" fontId="13" fillId="6" borderId="14" xfId="2" applyNumberFormat="1" applyFont="1" applyFill="1" applyBorder="1" applyAlignment="1">
      <alignment wrapText="1"/>
    </xf>
    <xf numFmtId="166" fontId="13" fillId="6" borderId="15" xfId="2" applyNumberFormat="1" applyFont="1" applyFill="1" applyBorder="1" applyAlignment="1">
      <alignment wrapText="1"/>
    </xf>
    <xf numFmtId="9" fontId="0" fillId="0" borderId="0" xfId="3" applyFont="1"/>
    <xf numFmtId="6" fontId="13" fillId="0" borderId="12" xfId="0" applyNumberFormat="1" applyFont="1" applyBorder="1"/>
    <xf numFmtId="6" fontId="13" fillId="0" borderId="15" xfId="0" applyNumberFormat="1" applyFont="1" applyBorder="1"/>
    <xf numFmtId="166" fontId="13" fillId="0" borderId="12" xfId="2" applyNumberFormat="1" applyFont="1" applyBorder="1"/>
    <xf numFmtId="166" fontId="13" fillId="0" borderId="15" xfId="2" applyNumberFormat="1" applyFont="1" applyBorder="1"/>
    <xf numFmtId="0" fontId="5" fillId="0" borderId="40" xfId="0" applyFont="1" applyBorder="1" applyAlignment="1">
      <alignment horizontal="center" vertical="center"/>
    </xf>
    <xf numFmtId="0" fontId="5" fillId="0" borderId="41" xfId="0" applyFont="1" applyBorder="1" applyAlignment="1">
      <alignment horizontal="center" vertical="center" wrapText="1"/>
    </xf>
    <xf numFmtId="0" fontId="5" fillId="0" borderId="42" xfId="0" applyFont="1" applyBorder="1" applyAlignment="1">
      <alignment horizontal="center" vertical="center" wrapText="1"/>
    </xf>
    <xf numFmtId="0" fontId="0" fillId="3" borderId="0" xfId="0" applyFill="1" applyAlignment="1">
      <alignment wrapText="1"/>
    </xf>
    <xf numFmtId="10" fontId="13" fillId="3" borderId="0" xfId="0" applyNumberFormat="1" applyFont="1" applyFill="1"/>
    <xf numFmtId="9" fontId="0" fillId="0" borderId="0" xfId="0" applyNumberFormat="1" applyAlignment="1">
      <alignment wrapText="1"/>
    </xf>
    <xf numFmtId="9" fontId="13" fillId="0" borderId="0" xfId="3" applyFont="1" applyFill="1" applyBorder="1" applyAlignment="1">
      <alignment wrapText="1"/>
    </xf>
    <xf numFmtId="0" fontId="11" fillId="0" borderId="0" xfId="0" applyFont="1"/>
    <xf numFmtId="0" fontId="11" fillId="0" borderId="0" xfId="0" applyFont="1" applyAlignment="1">
      <alignment wrapText="1"/>
    </xf>
    <xf numFmtId="0" fontId="13" fillId="0" borderId="0" xfId="0" applyFont="1" applyAlignment="1">
      <alignment wrapText="1"/>
    </xf>
    <xf numFmtId="166" fontId="13" fillId="6" borderId="4" xfId="0" applyNumberFormat="1" applyFont="1" applyFill="1" applyBorder="1"/>
    <xf numFmtId="0" fontId="19" fillId="0" borderId="0" xfId="0" applyFont="1"/>
    <xf numFmtId="0" fontId="20" fillId="0" borderId="0" xfId="0" applyFont="1"/>
    <xf numFmtId="0" fontId="6" fillId="0" borderId="0" xfId="0" applyFont="1" applyAlignment="1">
      <alignment horizontal="right"/>
    </xf>
    <xf numFmtId="0" fontId="13" fillId="0" borderId="0" xfId="0" applyFont="1" applyAlignment="1">
      <alignment horizontal="center"/>
    </xf>
    <xf numFmtId="0" fontId="21" fillId="0" borderId="0" xfId="0" applyFont="1"/>
    <xf numFmtId="0" fontId="22" fillId="0" borderId="0" xfId="0" applyFont="1"/>
    <xf numFmtId="0" fontId="0" fillId="0" borderId="0" xfId="0" applyAlignment="1">
      <alignment horizontal="left" wrapText="1"/>
    </xf>
    <xf numFmtId="0" fontId="23" fillId="0" borderId="0" xfId="0" applyFont="1"/>
    <xf numFmtId="0" fontId="23" fillId="0" borderId="0" xfId="0" applyFont="1" applyAlignment="1">
      <alignment horizontal="left" vertical="center" wrapText="1"/>
    </xf>
    <xf numFmtId="0" fontId="11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0" fontId="11" fillId="0" borderId="11" xfId="0" applyFont="1" applyBorder="1" applyAlignment="1">
      <alignment horizontal="center" vertical="center" wrapText="1"/>
    </xf>
    <xf numFmtId="0" fontId="11" fillId="0" borderId="4" xfId="0" applyFont="1" applyBorder="1" applyAlignment="1">
      <alignment horizontal="center" vertical="center" wrapText="1"/>
    </xf>
    <xf numFmtId="0" fontId="11" fillId="0" borderId="12" xfId="0" applyFont="1" applyBorder="1" applyAlignment="1">
      <alignment horizontal="center" vertical="center" wrapText="1"/>
    </xf>
    <xf numFmtId="0" fontId="11" fillId="0" borderId="0" xfId="0" applyFont="1" applyAlignment="1">
      <alignment horizontal="center" vertical="center" wrapText="1"/>
    </xf>
    <xf numFmtId="0" fontId="11" fillId="0" borderId="9" xfId="0" applyFont="1" applyBorder="1" applyAlignment="1">
      <alignment horizontal="center" vertical="center" wrapText="1"/>
    </xf>
    <xf numFmtId="0" fontId="11" fillId="0" borderId="10" xfId="0" applyFont="1" applyBorder="1" applyAlignment="1">
      <alignment horizontal="center" vertical="center" wrapText="1"/>
    </xf>
    <xf numFmtId="0" fontId="11" fillId="0" borderId="8" xfId="0" applyFont="1" applyBorder="1" applyAlignment="1">
      <alignment horizontal="center" vertical="center" wrapText="1"/>
    </xf>
    <xf numFmtId="0" fontId="13" fillId="0" borderId="4" xfId="0" applyFont="1" applyBorder="1"/>
    <xf numFmtId="0" fontId="13" fillId="0" borderId="14" xfId="0" applyFont="1" applyBorder="1"/>
    <xf numFmtId="165" fontId="13" fillId="0" borderId="0" xfId="0" applyNumberFormat="1" applyFont="1"/>
    <xf numFmtId="0" fontId="11" fillId="0" borderId="13" xfId="0" applyFont="1" applyBorder="1"/>
    <xf numFmtId="166" fontId="11" fillId="6" borderId="14" xfId="0" applyNumberFormat="1" applyFont="1" applyFill="1" applyBorder="1"/>
    <xf numFmtId="0" fontId="25" fillId="0" borderId="0" xfId="4" applyFont="1" applyFill="1" applyBorder="1"/>
    <xf numFmtId="0" fontId="11" fillId="0" borderId="8" xfId="0" applyFont="1" applyBorder="1" applyAlignment="1">
      <alignment horizontal="center" vertical="center"/>
    </xf>
    <xf numFmtId="0" fontId="11" fillId="0" borderId="43" xfId="0" applyFont="1" applyBorder="1" applyAlignment="1">
      <alignment horizontal="center" vertical="center" wrapText="1"/>
    </xf>
    <xf numFmtId="0" fontId="11" fillId="0" borderId="11" xfId="0" applyFont="1" applyBorder="1"/>
    <xf numFmtId="9" fontId="11" fillId="0" borderId="4" xfId="0" applyNumberFormat="1" applyFont="1" applyBorder="1"/>
    <xf numFmtId="9" fontId="11" fillId="0" borderId="12" xfId="0" applyNumberFormat="1" applyFont="1" applyBorder="1"/>
    <xf numFmtId="9" fontId="11" fillId="0" borderId="44" xfId="0" applyNumberFormat="1" applyFont="1" applyBorder="1" applyAlignment="1">
      <alignment wrapText="1"/>
    </xf>
    <xf numFmtId="9" fontId="11" fillId="0" borderId="1" xfId="0" applyNumberFormat="1" applyFont="1" applyBorder="1" applyAlignment="1">
      <alignment wrapText="1"/>
    </xf>
    <xf numFmtId="9" fontId="11" fillId="0" borderId="0" xfId="0" applyNumberFormat="1" applyFont="1"/>
    <xf numFmtId="9" fontId="11" fillId="0" borderId="14" xfId="3" applyFont="1" applyBorder="1" applyAlignment="1">
      <alignment wrapText="1"/>
    </xf>
    <xf numFmtId="9" fontId="11" fillId="0" borderId="15" xfId="3" applyFont="1" applyBorder="1" applyAlignment="1">
      <alignment wrapText="1"/>
    </xf>
    <xf numFmtId="0" fontId="13" fillId="0" borderId="4" xfId="0" applyFont="1" applyBorder="1" applyAlignment="1">
      <alignment vertical="top" wrapText="1"/>
    </xf>
    <xf numFmtId="0" fontId="13" fillId="0" borderId="0" xfId="0" applyFont="1" applyAlignment="1">
      <alignment vertical="top"/>
    </xf>
    <xf numFmtId="0" fontId="13" fillId="0" borderId="11" xfId="0" applyFont="1" applyBorder="1" applyAlignment="1">
      <alignment vertical="top" wrapText="1"/>
    </xf>
    <xf numFmtId="0" fontId="13" fillId="0" borderId="4" xfId="0" applyFont="1" applyBorder="1" applyAlignment="1">
      <alignment vertical="top"/>
    </xf>
    <xf numFmtId="0" fontId="13" fillId="0" borderId="14" xfId="0" applyFont="1" applyBorder="1" applyAlignment="1">
      <alignment vertical="top"/>
    </xf>
    <xf numFmtId="0" fontId="11" fillId="12" borderId="0" xfId="0" applyFont="1" applyFill="1" applyAlignment="1">
      <alignment horizontal="center" vertical="center"/>
    </xf>
    <xf numFmtId="0" fontId="11" fillId="12" borderId="0" xfId="0" applyFont="1" applyFill="1" applyAlignment="1">
      <alignment horizontal="center" vertical="center" wrapText="1"/>
    </xf>
    <xf numFmtId="0" fontId="13" fillId="12" borderId="0" xfId="0" applyFont="1" applyFill="1" applyAlignment="1">
      <alignment horizontal="center"/>
    </xf>
    <xf numFmtId="0" fontId="0" fillId="0" borderId="0" xfId="0" applyAlignment="1">
      <alignment vertical="center" wrapText="1"/>
    </xf>
    <xf numFmtId="0" fontId="18" fillId="0" borderId="0" xfId="0" applyFont="1" applyAlignment="1">
      <alignment vertical="top" wrapText="1"/>
    </xf>
    <xf numFmtId="0" fontId="0" fillId="0" borderId="0" xfId="0" applyAlignment="1">
      <alignment horizontal="center" vertical="center" wrapText="1"/>
    </xf>
    <xf numFmtId="166" fontId="11" fillId="6" borderId="4" xfId="0" applyNumberFormat="1" applyFont="1" applyFill="1" applyBorder="1"/>
    <xf numFmtId="166" fontId="11" fillId="6" borderId="15" xfId="0" applyNumberFormat="1" applyFont="1" applyFill="1" applyBorder="1"/>
    <xf numFmtId="0" fontId="10" fillId="4" borderId="0" xfId="4" applyFill="1" applyBorder="1"/>
    <xf numFmtId="166" fontId="13" fillId="11" borderId="4" xfId="2" applyNumberFormat="1" applyFont="1" applyFill="1" applyBorder="1" applyAlignment="1">
      <alignment vertical="top"/>
    </xf>
    <xf numFmtId="166" fontId="13" fillId="11" borderId="12" xfId="2" applyNumberFormat="1" applyFont="1" applyFill="1" applyBorder="1" applyAlignment="1">
      <alignment vertical="top"/>
    </xf>
    <xf numFmtId="9" fontId="11" fillId="0" borderId="0" xfId="0" applyNumberFormat="1" applyFont="1" applyAlignment="1">
      <alignment wrapText="1"/>
    </xf>
    <xf numFmtId="9" fontId="11" fillId="0" borderId="0" xfId="0" applyNumberFormat="1" applyFont="1" applyAlignment="1">
      <alignment horizontal="center"/>
    </xf>
    <xf numFmtId="0" fontId="12" fillId="12" borderId="0" xfId="0" applyFont="1" applyFill="1" applyAlignment="1">
      <alignment horizontal="center" vertical="center"/>
    </xf>
    <xf numFmtId="10" fontId="13" fillId="0" borderId="0" xfId="0" applyNumberFormat="1" applyFont="1"/>
    <xf numFmtId="0" fontId="8" fillId="12" borderId="0" xfId="0" applyFont="1" applyFill="1" applyAlignment="1">
      <alignment horizontal="center" vertical="center" wrapText="1"/>
    </xf>
    <xf numFmtId="9" fontId="13" fillId="0" borderId="4" xfId="0" applyNumberFormat="1" applyFont="1" applyBorder="1" applyAlignment="1">
      <alignment horizontal="center"/>
    </xf>
    <xf numFmtId="9" fontId="13" fillId="0" borderId="4" xfId="0" applyNumberFormat="1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13" fillId="0" borderId="4" xfId="0" applyFont="1" applyBorder="1" applyAlignment="1">
      <alignment horizontal="center" vertical="center" wrapText="1"/>
    </xf>
    <xf numFmtId="10" fontId="13" fillId="0" borderId="0" xfId="0" applyNumberFormat="1" applyFont="1" applyAlignment="1">
      <alignment horizontal="left"/>
    </xf>
    <xf numFmtId="0" fontId="13" fillId="0" borderId="0" xfId="0" applyFont="1" applyAlignment="1">
      <alignment horizontal="left"/>
    </xf>
    <xf numFmtId="9" fontId="13" fillId="0" borderId="0" xfId="0" applyNumberFormat="1" applyFont="1" applyAlignment="1">
      <alignment horizontal="left"/>
    </xf>
    <xf numFmtId="0" fontId="13" fillId="0" borderId="4" xfId="0" applyFont="1" applyBorder="1" applyAlignment="1">
      <alignment horizontal="center" vertical="center"/>
    </xf>
    <xf numFmtId="10" fontId="18" fillId="0" borderId="4" xfId="0" applyNumberFormat="1" applyFont="1" applyBorder="1" applyAlignment="1">
      <alignment horizontal="center"/>
    </xf>
    <xf numFmtId="10" fontId="13" fillId="0" borderId="0" xfId="0" applyNumberFormat="1" applyFont="1" applyAlignment="1">
      <alignment horizontal="center"/>
    </xf>
    <xf numFmtId="10" fontId="18" fillId="0" borderId="0" xfId="0" applyNumberFormat="1" applyFont="1" applyAlignment="1">
      <alignment horizontal="center"/>
    </xf>
    <xf numFmtId="9" fontId="13" fillId="0" borderId="0" xfId="0" applyNumberFormat="1" applyFont="1" applyAlignment="1">
      <alignment horizontal="center"/>
    </xf>
    <xf numFmtId="10" fontId="13" fillId="0" borderId="4" xfId="0" applyNumberFormat="1" applyFont="1" applyBorder="1" applyAlignment="1">
      <alignment horizontal="center"/>
    </xf>
    <xf numFmtId="0" fontId="8" fillId="12" borderId="0" xfId="0" applyFont="1" applyFill="1" applyAlignment="1">
      <alignment horizontal="center" vertical="center"/>
    </xf>
    <xf numFmtId="0" fontId="8" fillId="0" borderId="0" xfId="0" applyFont="1" applyAlignment="1">
      <alignment horizontal="center" vertical="center"/>
    </xf>
    <xf numFmtId="167" fontId="11" fillId="6" borderId="0" xfId="0" applyNumberFormat="1" applyFont="1" applyFill="1"/>
    <xf numFmtId="0" fontId="20" fillId="0" borderId="0" xfId="0" applyFont="1" applyAlignment="1">
      <alignment horizontal="center"/>
    </xf>
    <xf numFmtId="167" fontId="11" fillId="6" borderId="4" xfId="0" applyNumberFormat="1" applyFont="1" applyFill="1" applyBorder="1"/>
    <xf numFmtId="167" fontId="0" fillId="6" borderId="15" xfId="0" applyNumberFormat="1" applyFill="1" applyBorder="1"/>
    <xf numFmtId="0" fontId="0" fillId="0" borderId="14" xfId="0" applyBorder="1" applyAlignment="1">
      <alignment wrapText="1"/>
    </xf>
    <xf numFmtId="0" fontId="0" fillId="0" borderId="19" xfId="0" applyBorder="1"/>
    <xf numFmtId="167" fontId="0" fillId="6" borderId="19" xfId="0" applyNumberFormat="1" applyFill="1" applyBorder="1"/>
    <xf numFmtId="167" fontId="0" fillId="6" borderId="22" xfId="0" applyNumberFormat="1" applyFill="1" applyBorder="1"/>
    <xf numFmtId="167" fontId="11" fillId="6" borderId="17" xfId="0" applyNumberFormat="1" applyFont="1" applyFill="1" applyBorder="1"/>
    <xf numFmtId="167" fontId="0" fillId="2" borderId="15" xfId="0" applyNumberFormat="1" applyFill="1" applyBorder="1"/>
    <xf numFmtId="0" fontId="2" fillId="0" borderId="14" xfId="0" applyFont="1" applyBorder="1"/>
    <xf numFmtId="0" fontId="0" fillId="2" borderId="14" xfId="0" applyFill="1" applyBorder="1"/>
    <xf numFmtId="0" fontId="0" fillId="0" borderId="4" xfId="0" applyBorder="1" applyAlignment="1">
      <alignment horizontal="center" wrapText="1"/>
    </xf>
    <xf numFmtId="9" fontId="8" fillId="0" borderId="0" xfId="0" applyNumberFormat="1" applyFont="1"/>
    <xf numFmtId="9" fontId="12" fillId="6" borderId="0" xfId="0" applyNumberFormat="1" applyFont="1" applyFill="1" applyAlignment="1">
      <alignment horizontal="center"/>
    </xf>
    <xf numFmtId="0" fontId="12" fillId="6" borderId="49" xfId="0" applyFont="1" applyFill="1" applyBorder="1" applyAlignment="1">
      <alignment horizontal="right"/>
    </xf>
    <xf numFmtId="165" fontId="28" fillId="0" borderId="0" xfId="0" applyNumberFormat="1" applyFont="1"/>
    <xf numFmtId="0" fontId="13" fillId="0" borderId="11" xfId="0" applyFont="1" applyBorder="1"/>
    <xf numFmtId="0" fontId="13" fillId="0" borderId="13" xfId="0" applyFont="1" applyBorder="1"/>
    <xf numFmtId="0" fontId="0" fillId="0" borderId="0" xfId="0" applyAlignment="1">
      <alignment horizontal="left" vertical="top" wrapText="1"/>
    </xf>
    <xf numFmtId="166" fontId="0" fillId="0" borderId="0" xfId="2" applyNumberFormat="1" applyFont="1" applyFill="1" applyBorder="1" applyAlignment="1">
      <alignment horizontal="left" vertical="top"/>
    </xf>
    <xf numFmtId="0" fontId="0" fillId="0" borderId="0" xfId="0" applyAlignment="1">
      <alignment horizontal="left" vertical="top"/>
    </xf>
    <xf numFmtId="167" fontId="0" fillId="0" borderId="0" xfId="0" applyNumberFormat="1" applyAlignment="1">
      <alignment horizontal="left" vertical="top"/>
    </xf>
    <xf numFmtId="0" fontId="13" fillId="12" borderId="0" xfId="0" applyFont="1" applyFill="1" applyAlignment="1">
      <alignment horizontal="left" vertical="center" wrapText="1"/>
    </xf>
    <xf numFmtId="0" fontId="13" fillId="12" borderId="0" xfId="0" applyFont="1" applyFill="1" applyAlignment="1">
      <alignment horizontal="left" vertical="center"/>
    </xf>
    <xf numFmtId="0" fontId="11" fillId="0" borderId="0" xfId="0" applyFont="1" applyAlignment="1">
      <alignment horizontal="left"/>
    </xf>
    <xf numFmtId="167" fontId="13" fillId="6" borderId="4" xfId="0" applyNumberFormat="1" applyFont="1" applyFill="1" applyBorder="1"/>
    <xf numFmtId="167" fontId="13" fillId="6" borderId="12" xfId="0" applyNumberFormat="1" applyFont="1" applyFill="1" applyBorder="1"/>
    <xf numFmtId="167" fontId="13" fillId="0" borderId="0" xfId="0" applyNumberFormat="1" applyFont="1"/>
    <xf numFmtId="0" fontId="11" fillId="0" borderId="39" xfId="0" applyFont="1" applyBorder="1" applyAlignment="1">
      <alignment horizontal="center" vertical="center" wrapText="1"/>
    </xf>
    <xf numFmtId="0" fontId="11" fillId="0" borderId="24" xfId="0" applyFont="1" applyBorder="1" applyAlignment="1">
      <alignment horizontal="center" vertical="center" wrapText="1"/>
    </xf>
    <xf numFmtId="167" fontId="13" fillId="0" borderId="24" xfId="0" applyNumberFormat="1" applyFont="1" applyBorder="1"/>
    <xf numFmtId="0" fontId="13" fillId="4" borderId="11" xfId="0" applyFont="1" applyFill="1" applyBorder="1"/>
    <xf numFmtId="0" fontId="13" fillId="4" borderId="4" xfId="0" applyFont="1" applyFill="1" applyBorder="1"/>
    <xf numFmtId="0" fontId="13" fillId="4" borderId="24" xfId="0" applyFont="1" applyFill="1" applyBorder="1"/>
    <xf numFmtId="167" fontId="13" fillId="6" borderId="11" xfId="0" applyNumberFormat="1" applyFont="1" applyFill="1" applyBorder="1"/>
    <xf numFmtId="166" fontId="29" fillId="0" borderId="24" xfId="2" applyNumberFormat="1" applyFont="1" applyFill="1" applyBorder="1"/>
    <xf numFmtId="166" fontId="13" fillId="0" borderId="24" xfId="2" applyNumberFormat="1" applyFont="1" applyFill="1" applyBorder="1"/>
    <xf numFmtId="44" fontId="13" fillId="0" borderId="24" xfId="2" applyFont="1" applyFill="1" applyBorder="1"/>
    <xf numFmtId="166" fontId="13" fillId="0" borderId="25" xfId="2" applyNumberFormat="1" applyFont="1" applyFill="1" applyBorder="1"/>
    <xf numFmtId="0" fontId="13" fillId="4" borderId="13" xfId="0" applyFont="1" applyFill="1" applyBorder="1"/>
    <xf numFmtId="0" fontId="13" fillId="4" borderId="14" xfId="0" applyFont="1" applyFill="1" applyBorder="1"/>
    <xf numFmtId="0" fontId="13" fillId="4" borderId="25" xfId="0" applyFont="1" applyFill="1" applyBorder="1"/>
    <xf numFmtId="0" fontId="11" fillId="0" borderId="48" xfId="0" applyFont="1" applyBorder="1" applyAlignment="1">
      <alignment wrapText="1"/>
    </xf>
    <xf numFmtId="0" fontId="11" fillId="12" borderId="0" xfId="0" applyFont="1" applyFill="1" applyAlignment="1">
      <alignment wrapText="1"/>
    </xf>
    <xf numFmtId="0" fontId="13" fillId="12" borderId="0" xfId="0" applyFont="1" applyFill="1"/>
    <xf numFmtId="166" fontId="11" fillId="0" borderId="0" xfId="0" applyNumberFormat="1" applyFont="1"/>
    <xf numFmtId="0" fontId="11" fillId="12" borderId="0" xfId="0" applyFont="1" applyFill="1" applyAlignment="1">
      <alignment horizontal="center" wrapText="1"/>
    </xf>
    <xf numFmtId="0" fontId="13" fillId="12" borderId="0" xfId="0" applyFont="1" applyFill="1" applyAlignment="1">
      <alignment wrapText="1"/>
    </xf>
    <xf numFmtId="0" fontId="11" fillId="0" borderId="0" xfId="0" applyFont="1" applyAlignment="1">
      <alignment horizontal="center"/>
    </xf>
    <xf numFmtId="167" fontId="13" fillId="0" borderId="4" xfId="0" applyNumberFormat="1" applyFont="1" applyBorder="1"/>
    <xf numFmtId="10" fontId="13" fillId="6" borderId="8" xfId="0" applyNumberFormat="1" applyFont="1" applyFill="1" applyBorder="1" applyAlignment="1">
      <alignment horizontal="center" vertical="center"/>
    </xf>
    <xf numFmtId="10" fontId="13" fillId="6" borderId="9" xfId="3" applyNumberFormat="1" applyFont="1" applyFill="1" applyBorder="1" applyAlignment="1">
      <alignment horizontal="center" vertical="center"/>
    </xf>
    <xf numFmtId="10" fontId="13" fillId="6" borderId="10" xfId="3" applyNumberFormat="1" applyFont="1" applyFill="1" applyBorder="1" applyAlignment="1">
      <alignment horizontal="center" vertical="center"/>
    </xf>
    <xf numFmtId="10" fontId="13" fillId="6" borderId="11" xfId="0" applyNumberFormat="1" applyFont="1" applyFill="1" applyBorder="1" applyAlignment="1">
      <alignment horizontal="center" vertical="center"/>
    </xf>
    <xf numFmtId="10" fontId="13" fillId="6" borderId="4" xfId="0" applyNumberFormat="1" applyFont="1" applyFill="1" applyBorder="1" applyAlignment="1">
      <alignment horizontal="center" vertical="center"/>
    </xf>
    <xf numFmtId="10" fontId="13" fillId="6" borderId="12" xfId="0" applyNumberFormat="1" applyFont="1" applyFill="1" applyBorder="1" applyAlignment="1">
      <alignment horizontal="center" vertical="center"/>
    </xf>
    <xf numFmtId="10" fontId="13" fillId="6" borderId="13" xfId="0" applyNumberFormat="1" applyFont="1" applyFill="1" applyBorder="1" applyAlignment="1">
      <alignment horizontal="center" vertical="center"/>
    </xf>
    <xf numFmtId="10" fontId="13" fillId="6" borderId="14" xfId="0" applyNumberFormat="1" applyFont="1" applyFill="1" applyBorder="1" applyAlignment="1">
      <alignment horizontal="center" vertical="center"/>
    </xf>
    <xf numFmtId="10" fontId="13" fillId="6" borderId="15" xfId="0" applyNumberFormat="1" applyFont="1" applyFill="1" applyBorder="1" applyAlignment="1">
      <alignment horizontal="center" vertical="center"/>
    </xf>
    <xf numFmtId="9" fontId="13" fillId="6" borderId="0" xfId="0" applyNumberFormat="1" applyFont="1" applyFill="1"/>
    <xf numFmtId="168" fontId="13" fillId="6" borderId="4" xfId="3" applyNumberFormat="1" applyFont="1" applyFill="1" applyBorder="1"/>
    <xf numFmtId="0" fontId="13" fillId="6" borderId="4" xfId="0" applyFont="1" applyFill="1" applyBorder="1"/>
    <xf numFmtId="0" fontId="13" fillId="6" borderId="0" xfId="0" applyFont="1" applyFill="1" applyAlignment="1">
      <alignment horizontal="center"/>
    </xf>
    <xf numFmtId="9" fontId="13" fillId="6" borderId="5" xfId="3" applyFont="1" applyFill="1" applyBorder="1" applyAlignment="1">
      <alignment horizontal="center"/>
    </xf>
    <xf numFmtId="9" fontId="13" fillId="6" borderId="7" xfId="3" applyFont="1" applyFill="1" applyBorder="1" applyAlignment="1">
      <alignment horizontal="center"/>
    </xf>
    <xf numFmtId="10" fontId="13" fillId="6" borderId="13" xfId="5" applyNumberFormat="1" applyFont="1" applyFill="1" applyBorder="1" applyAlignment="1">
      <alignment horizontal="center"/>
    </xf>
    <xf numFmtId="10" fontId="13" fillId="6" borderId="14" xfId="5" applyNumberFormat="1" applyFont="1" applyFill="1" applyBorder="1" applyAlignment="1">
      <alignment horizontal="center"/>
    </xf>
    <xf numFmtId="10" fontId="13" fillId="6" borderId="15" xfId="5" applyNumberFormat="1" applyFont="1" applyFill="1" applyBorder="1" applyAlignment="1">
      <alignment horizontal="center"/>
    </xf>
    <xf numFmtId="0" fontId="10" fillId="6" borderId="0" xfId="4" applyFill="1" applyBorder="1"/>
    <xf numFmtId="168" fontId="13" fillId="6" borderId="4" xfId="0" applyNumberFormat="1" applyFont="1" applyFill="1" applyBorder="1" applyAlignment="1">
      <alignment horizontal="center" vertical="top" wrapText="1"/>
    </xf>
    <xf numFmtId="168" fontId="13" fillId="6" borderId="12" xfId="0" applyNumberFormat="1" applyFont="1" applyFill="1" applyBorder="1" applyAlignment="1">
      <alignment horizontal="center" vertical="top" wrapText="1"/>
    </xf>
    <xf numFmtId="168" fontId="13" fillId="6" borderId="14" xfId="0" applyNumberFormat="1" applyFont="1" applyFill="1" applyBorder="1" applyAlignment="1">
      <alignment horizontal="center" vertical="top" wrapText="1"/>
    </xf>
    <xf numFmtId="168" fontId="13" fillId="6" borderId="15" xfId="0" applyNumberFormat="1" applyFont="1" applyFill="1" applyBorder="1" applyAlignment="1">
      <alignment horizontal="center" vertical="top" wrapText="1"/>
    </xf>
    <xf numFmtId="0" fontId="10" fillId="6" borderId="0" xfId="4" applyFill="1" applyBorder="1" applyAlignment="1">
      <alignment horizontal="left" wrapText="1"/>
    </xf>
    <xf numFmtId="9" fontId="13" fillId="6" borderId="4" xfId="3" applyFont="1" applyFill="1" applyBorder="1" applyAlignment="1">
      <alignment wrapText="1"/>
    </xf>
    <xf numFmtId="9" fontId="13" fillId="6" borderId="12" xfId="3" applyFont="1" applyFill="1" applyBorder="1" applyAlignment="1">
      <alignment wrapText="1"/>
    </xf>
    <xf numFmtId="0" fontId="10" fillId="6" borderId="1" xfId="4" applyFill="1" applyBorder="1" applyAlignment="1">
      <alignment wrapText="1"/>
    </xf>
    <xf numFmtId="0" fontId="30" fillId="0" borderId="0" xfId="0" applyFont="1" applyAlignment="1">
      <alignment horizontal="center" vertical="center" wrapText="1"/>
    </xf>
    <xf numFmtId="0" fontId="31" fillId="0" borderId="4" xfId="0" applyFont="1" applyBorder="1" applyAlignment="1">
      <alignment horizontal="center" vertical="center"/>
    </xf>
    <xf numFmtId="0" fontId="31" fillId="0" borderId="4" xfId="0" applyFont="1" applyBorder="1" applyAlignment="1">
      <alignment horizontal="center" vertical="center" wrapText="1"/>
    </xf>
    <xf numFmtId="0" fontId="31" fillId="8" borderId="4" xfId="0" applyFont="1" applyFill="1" applyBorder="1" applyAlignment="1">
      <alignment horizontal="center" vertical="center" wrapText="1"/>
    </xf>
    <xf numFmtId="0" fontId="31" fillId="0" borderId="0" xfId="0" applyFont="1" applyAlignment="1">
      <alignment horizontal="center" vertical="center"/>
    </xf>
    <xf numFmtId="166" fontId="11" fillId="6" borderId="4" xfId="2" applyNumberFormat="1" applyFont="1" applyFill="1" applyBorder="1"/>
    <xf numFmtId="0" fontId="31" fillId="0" borderId="0" xfId="0" applyFont="1" applyAlignment="1">
      <alignment horizontal="center" vertical="center" wrapText="1"/>
    </xf>
    <xf numFmtId="170" fontId="31" fillId="0" borderId="4" xfId="0" applyNumberFormat="1" applyFont="1" applyBorder="1" applyAlignment="1">
      <alignment horizontal="center" vertical="center"/>
    </xf>
    <xf numFmtId="0" fontId="31" fillId="8" borderId="0" xfId="0" applyFont="1" applyFill="1" applyAlignment="1">
      <alignment horizontal="center" vertical="center"/>
    </xf>
    <xf numFmtId="0" fontId="31" fillId="8" borderId="0" xfId="0" applyFont="1" applyFill="1" applyAlignment="1">
      <alignment horizontal="center" vertical="center" wrapText="1"/>
    </xf>
    <xf numFmtId="9" fontId="13" fillId="0" borderId="12" xfId="0" applyNumberFormat="1" applyFont="1" applyBorder="1" applyAlignment="1">
      <alignment wrapText="1"/>
    </xf>
    <xf numFmtId="9" fontId="13" fillId="0" borderId="15" xfId="0" applyNumberFormat="1" applyFont="1" applyBorder="1" applyAlignment="1">
      <alignment wrapText="1"/>
    </xf>
    <xf numFmtId="9" fontId="11" fillId="6" borderId="4" xfId="0" applyNumberFormat="1" applyFont="1" applyFill="1" applyBorder="1"/>
    <xf numFmtId="166" fontId="11" fillId="0" borderId="1" xfId="0" applyNumberFormat="1" applyFont="1" applyBorder="1"/>
    <xf numFmtId="0" fontId="31" fillId="8" borderId="4" xfId="0" applyFont="1" applyFill="1" applyBorder="1" applyAlignment="1">
      <alignment horizontal="left" vertical="center"/>
    </xf>
    <xf numFmtId="166" fontId="13" fillId="0" borderId="4" xfId="2" applyNumberFormat="1" applyFont="1" applyBorder="1" applyAlignment="1">
      <alignment wrapText="1"/>
    </xf>
    <xf numFmtId="166" fontId="13" fillId="0" borderId="0" xfId="2" applyNumberFormat="1" applyFont="1" applyAlignment="1">
      <alignment wrapText="1"/>
    </xf>
    <xf numFmtId="9" fontId="11" fillId="0" borderId="0" xfId="3" applyFont="1" applyFill="1" applyBorder="1" applyAlignment="1">
      <alignment wrapText="1"/>
    </xf>
    <xf numFmtId="0" fontId="32" fillId="10" borderId="8" xfId="0" applyFont="1" applyFill="1" applyBorder="1" applyAlignment="1">
      <alignment horizontal="center" vertical="center" wrapText="1"/>
    </xf>
    <xf numFmtId="0" fontId="32" fillId="10" borderId="9" xfId="0" applyFont="1" applyFill="1" applyBorder="1" applyAlignment="1">
      <alignment vertical="center"/>
    </xf>
    <xf numFmtId="0" fontId="32" fillId="10" borderId="9" xfId="0" applyFont="1" applyFill="1" applyBorder="1" applyAlignment="1">
      <alignment horizontal="center" vertical="center"/>
    </xf>
    <xf numFmtId="0" fontId="32" fillId="10" borderId="9" xfId="0" applyFont="1" applyFill="1" applyBorder="1" applyAlignment="1">
      <alignment horizontal="center" vertical="center" wrapText="1"/>
    </xf>
    <xf numFmtId="0" fontId="32" fillId="10" borderId="10" xfId="0" applyFont="1" applyFill="1" applyBorder="1" applyAlignment="1">
      <alignment horizontal="center" vertical="center" wrapText="1"/>
    </xf>
    <xf numFmtId="0" fontId="31" fillId="8" borderId="11" xfId="0" applyFont="1" applyFill="1" applyBorder="1" applyAlignment="1">
      <alignment horizontal="center" vertical="center"/>
    </xf>
    <xf numFmtId="0" fontId="31" fillId="0" borderId="12" xfId="0" applyFont="1" applyBorder="1" applyAlignment="1">
      <alignment horizontal="center" vertical="center"/>
    </xf>
    <xf numFmtId="0" fontId="31" fillId="0" borderId="12" xfId="0" applyFont="1" applyBorder="1" applyAlignment="1">
      <alignment horizontal="center" vertical="center" wrapText="1"/>
    </xf>
    <xf numFmtId="0" fontId="31" fillId="8" borderId="13" xfId="0" applyFont="1" applyFill="1" applyBorder="1" applyAlignment="1">
      <alignment horizontal="center" vertical="center"/>
    </xf>
    <xf numFmtId="0" fontId="31" fillId="0" borderId="14" xfId="0" applyFont="1" applyBorder="1" applyAlignment="1">
      <alignment horizontal="center" vertical="center"/>
    </xf>
    <xf numFmtId="0" fontId="31" fillId="0" borderId="14" xfId="0" applyFont="1" applyBorder="1" applyAlignment="1">
      <alignment horizontal="center" vertical="center" wrapText="1"/>
    </xf>
    <xf numFmtId="0" fontId="31" fillId="0" borderId="15" xfId="0" applyFont="1" applyBorder="1" applyAlignment="1">
      <alignment horizontal="center" vertical="center"/>
    </xf>
    <xf numFmtId="0" fontId="11" fillId="12" borderId="0" xfId="0" applyFont="1" applyFill="1"/>
    <xf numFmtId="9" fontId="11" fillId="12" borderId="0" xfId="0" applyNumberFormat="1" applyFont="1" applyFill="1"/>
    <xf numFmtId="9" fontId="11" fillId="12" borderId="0" xfId="0" applyNumberFormat="1" applyFont="1" applyFill="1" applyAlignment="1">
      <alignment wrapText="1"/>
    </xf>
    <xf numFmtId="9" fontId="11" fillId="0" borderId="4" xfId="3" applyFont="1" applyBorder="1" applyAlignment="1">
      <alignment wrapText="1"/>
    </xf>
    <xf numFmtId="166" fontId="11" fillId="6" borderId="24" xfId="0" applyNumberFormat="1" applyFont="1" applyFill="1" applyBorder="1"/>
    <xf numFmtId="166" fontId="11" fillId="6" borderId="4" xfId="2" applyNumberFormat="1" applyFont="1" applyFill="1" applyBorder="1" applyAlignment="1">
      <alignment horizontal="center" vertical="center" wrapText="1"/>
    </xf>
    <xf numFmtId="9" fontId="11" fillId="0" borderId="0" xfId="3" applyFont="1" applyFill="1" applyBorder="1"/>
    <xf numFmtId="0" fontId="11" fillId="0" borderId="0" xfId="0" applyFont="1" applyAlignment="1">
      <alignment horizontal="left" vertical="center"/>
    </xf>
    <xf numFmtId="0" fontId="13" fillId="6" borderId="4" xfId="0" applyFont="1" applyFill="1" applyBorder="1" applyAlignment="1">
      <alignment horizontal="center" vertical="center"/>
    </xf>
    <xf numFmtId="166" fontId="13" fillId="0" borderId="4" xfId="0" applyNumberFormat="1" applyFont="1" applyBorder="1"/>
    <xf numFmtId="0" fontId="13" fillId="12" borderId="0" xfId="0" applyFont="1" applyFill="1" applyAlignment="1">
      <alignment horizontal="right"/>
    </xf>
    <xf numFmtId="0" fontId="13" fillId="12" borderId="0" xfId="0" applyFont="1" applyFill="1" applyAlignment="1">
      <alignment horizontal="center" vertical="center" wrapText="1"/>
    </xf>
    <xf numFmtId="0" fontId="13" fillId="12" borderId="0" xfId="0" applyFont="1" applyFill="1" applyAlignment="1">
      <alignment horizontal="center" vertical="center"/>
    </xf>
    <xf numFmtId="0" fontId="11" fillId="6" borderId="4" xfId="0" applyFont="1" applyFill="1" applyBorder="1" applyAlignment="1">
      <alignment horizontal="center" vertical="center"/>
    </xf>
    <xf numFmtId="9" fontId="11" fillId="6" borderId="4" xfId="3" applyFont="1" applyFill="1" applyBorder="1" applyAlignment="1">
      <alignment horizontal="center" vertical="center"/>
    </xf>
    <xf numFmtId="0" fontId="13" fillId="12" borderId="0" xfId="0" applyFont="1" applyFill="1" applyAlignment="1">
      <alignment horizontal="right" wrapText="1"/>
    </xf>
    <xf numFmtId="9" fontId="11" fillId="6" borderId="4" xfId="3" applyFont="1" applyFill="1" applyBorder="1"/>
    <xf numFmtId="2" fontId="13" fillId="0" borderId="0" xfId="0" applyNumberFormat="1" applyFont="1"/>
    <xf numFmtId="169" fontId="13" fillId="0" borderId="0" xfId="0" applyNumberFormat="1" applyFont="1"/>
    <xf numFmtId="0" fontId="13" fillId="0" borderId="0" xfId="0" applyFont="1" applyAlignment="1">
      <alignment horizontal="left" vertical="center"/>
    </xf>
    <xf numFmtId="0" fontId="8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/>
    </xf>
    <xf numFmtId="0" fontId="0" fillId="0" borderId="0" xfId="0" applyAlignment="1">
      <alignment horizontal="left" wrapText="1"/>
    </xf>
    <xf numFmtId="0" fontId="23" fillId="0" borderId="0" xfId="0" applyFont="1" applyAlignment="1">
      <alignment horizontal="left" vertical="center" wrapText="1"/>
    </xf>
    <xf numFmtId="0" fontId="13" fillId="0" borderId="0" xfId="0" applyFont="1" applyAlignment="1">
      <alignment horizontal="left" vertical="center" wrapText="1"/>
    </xf>
    <xf numFmtId="0" fontId="11" fillId="0" borderId="0" xfId="0" applyFont="1" applyAlignment="1">
      <alignment horizontal="center" vertical="center"/>
    </xf>
    <xf numFmtId="0" fontId="11" fillId="12" borderId="0" xfId="0" applyFont="1" applyFill="1" applyAlignment="1">
      <alignment horizontal="center" vertical="center"/>
    </xf>
    <xf numFmtId="0" fontId="11" fillId="0" borderId="8" xfId="0" applyFont="1" applyBorder="1" applyAlignment="1">
      <alignment horizontal="left" wrapText="1"/>
    </xf>
    <xf numFmtId="0" fontId="11" fillId="0" borderId="9" xfId="0" applyFont="1" applyBorder="1" applyAlignment="1">
      <alignment horizontal="left" wrapText="1"/>
    </xf>
    <xf numFmtId="9" fontId="11" fillId="0" borderId="45" xfId="0" applyNumberFormat="1" applyFont="1" applyBorder="1" applyAlignment="1">
      <alignment horizontal="center"/>
    </xf>
    <xf numFmtId="9" fontId="11" fillId="0" borderId="36" xfId="0" applyNumberFormat="1" applyFont="1" applyBorder="1" applyAlignment="1">
      <alignment horizontal="center"/>
    </xf>
    <xf numFmtId="9" fontId="11" fillId="0" borderId="46" xfId="0" applyNumberFormat="1" applyFont="1" applyBorder="1" applyAlignment="1">
      <alignment horizontal="center"/>
    </xf>
    <xf numFmtId="0" fontId="13" fillId="0" borderId="11" xfId="0" applyFont="1" applyBorder="1" applyAlignment="1">
      <alignment horizontal="center" vertical="center"/>
    </xf>
    <xf numFmtId="0" fontId="13" fillId="0" borderId="13" xfId="0" applyFont="1" applyBorder="1" applyAlignment="1">
      <alignment horizontal="center" vertical="center"/>
    </xf>
    <xf numFmtId="0" fontId="11" fillId="12" borderId="0" xfId="0" applyFont="1" applyFill="1" applyAlignment="1">
      <alignment horizontal="center" vertical="center" wrapText="1"/>
    </xf>
    <xf numFmtId="0" fontId="11" fillId="12" borderId="0" xfId="0" applyFont="1" applyFill="1" applyAlignment="1">
      <alignment horizontal="left" wrapText="1"/>
    </xf>
    <xf numFmtId="0" fontId="8" fillId="12" borderId="0" xfId="0" applyFont="1" applyFill="1" applyAlignment="1">
      <alignment horizontal="center" vertical="center"/>
    </xf>
    <xf numFmtId="0" fontId="27" fillId="0" borderId="32" xfId="0" applyFont="1" applyBorder="1" applyAlignment="1">
      <alignment horizontal="left" vertical="top" wrapText="1"/>
    </xf>
    <xf numFmtId="0" fontId="27" fillId="0" borderId="0" xfId="0" applyFont="1" applyAlignment="1">
      <alignment horizontal="left" vertical="top" wrapText="1"/>
    </xf>
    <xf numFmtId="0" fontId="26" fillId="0" borderId="32" xfId="0" applyFont="1" applyBorder="1" applyAlignment="1">
      <alignment horizontal="left" vertical="top" wrapText="1"/>
    </xf>
    <xf numFmtId="0" fontId="26" fillId="0" borderId="0" xfId="0" applyFont="1" applyAlignment="1">
      <alignment horizontal="left" vertical="top" wrapText="1"/>
    </xf>
    <xf numFmtId="0" fontId="8" fillId="12" borderId="9" xfId="0" applyFont="1" applyFill="1" applyBorder="1" applyAlignment="1">
      <alignment horizontal="center"/>
    </xf>
    <xf numFmtId="0" fontId="8" fillId="12" borderId="10" xfId="0" applyFont="1" applyFill="1" applyBorder="1" applyAlignment="1">
      <alignment horizontal="center"/>
    </xf>
    <xf numFmtId="0" fontId="20" fillId="0" borderId="0" xfId="0" applyFont="1" applyAlignment="1">
      <alignment horizontal="center"/>
    </xf>
    <xf numFmtId="0" fontId="0" fillId="0" borderId="47" xfId="0" applyBorder="1" applyAlignment="1">
      <alignment horizontal="center" wrapText="1"/>
    </xf>
    <xf numFmtId="0" fontId="21" fillId="0" borderId="0" xfId="0" applyFont="1" applyAlignment="1">
      <alignment horizontal="center"/>
    </xf>
    <xf numFmtId="0" fontId="11" fillId="0" borderId="8" xfId="0" applyFont="1" applyBorder="1" applyAlignment="1">
      <alignment horizontal="center"/>
    </xf>
    <xf numFmtId="0" fontId="11" fillId="0" borderId="9" xfId="0" applyFont="1" applyBorder="1" applyAlignment="1">
      <alignment horizontal="center"/>
    </xf>
    <xf numFmtId="0" fontId="11" fillId="0" borderId="39" xfId="0" applyFont="1" applyBorder="1" applyAlignment="1">
      <alignment horizontal="center"/>
    </xf>
    <xf numFmtId="0" fontId="11" fillId="0" borderId="10" xfId="0" applyFont="1" applyBorder="1" applyAlignment="1">
      <alignment horizontal="center"/>
    </xf>
    <xf numFmtId="0" fontId="13" fillId="0" borderId="11" xfId="0" applyFont="1" applyBorder="1" applyAlignment="1">
      <alignment horizontal="center"/>
    </xf>
    <xf numFmtId="0" fontId="13" fillId="0" borderId="4" xfId="0" applyFont="1" applyBorder="1" applyAlignment="1">
      <alignment horizontal="center"/>
    </xf>
    <xf numFmtId="0" fontId="13" fillId="0" borderId="24" xfId="0" applyFont="1" applyBorder="1" applyAlignment="1">
      <alignment horizontal="center"/>
    </xf>
    <xf numFmtId="0" fontId="13" fillId="0" borderId="12" xfId="0" applyFont="1" applyBorder="1" applyAlignment="1">
      <alignment horizontal="center"/>
    </xf>
    <xf numFmtId="0" fontId="11" fillId="12" borderId="0" xfId="0" applyFont="1" applyFill="1" applyAlignment="1">
      <alignment horizontal="center"/>
    </xf>
    <xf numFmtId="0" fontId="0" fillId="0" borderId="0" xfId="0" applyAlignment="1">
      <alignment horizontal="left" vertical="top" wrapText="1"/>
    </xf>
    <xf numFmtId="0" fontId="21" fillId="0" borderId="0" xfId="0" applyFont="1" applyAlignment="1">
      <alignment horizontal="left"/>
    </xf>
    <xf numFmtId="0" fontId="11" fillId="0" borderId="34" xfId="0" applyFont="1" applyBorder="1" applyAlignment="1">
      <alignment horizontal="right"/>
    </xf>
    <xf numFmtId="0" fontId="11" fillId="0" borderId="35" xfId="0" applyFont="1" applyBorder="1" applyAlignment="1">
      <alignment horizontal="right"/>
    </xf>
    <xf numFmtId="0" fontId="11" fillId="0" borderId="3" xfId="0" applyFont="1" applyBorder="1" applyAlignment="1">
      <alignment horizontal="right"/>
    </xf>
    <xf numFmtId="0" fontId="11" fillId="0" borderId="4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top" wrapText="1"/>
    </xf>
    <xf numFmtId="9" fontId="11" fillId="0" borderId="0" xfId="0" applyNumberFormat="1" applyFont="1" applyAlignment="1">
      <alignment horizontal="center"/>
    </xf>
    <xf numFmtId="0" fontId="13" fillId="12" borderId="32" xfId="0" applyFont="1" applyFill="1" applyBorder="1" applyAlignment="1">
      <alignment horizontal="center" vertical="center" wrapText="1"/>
    </xf>
    <xf numFmtId="0" fontId="11" fillId="0" borderId="4" xfId="0" applyFont="1" applyBorder="1" applyAlignment="1">
      <alignment horizontal="left" vertical="center" wrapText="1"/>
    </xf>
    <xf numFmtId="0" fontId="11" fillId="0" borderId="0" xfId="0" applyFont="1" applyAlignment="1">
      <alignment horizontal="left" vertical="center" wrapText="1"/>
    </xf>
    <xf numFmtId="0" fontId="11" fillId="12" borderId="24" xfId="0" applyFont="1" applyFill="1" applyBorder="1" applyAlignment="1">
      <alignment horizontal="center" vertical="center" wrapText="1"/>
    </xf>
    <xf numFmtId="0" fontId="11" fillId="12" borderId="36" xfId="0" applyFont="1" applyFill="1" applyBorder="1" applyAlignment="1">
      <alignment horizontal="center" vertical="center" wrapText="1"/>
    </xf>
    <xf numFmtId="0" fontId="11" fillId="12" borderId="23" xfId="0" applyFont="1" applyFill="1" applyBorder="1" applyAlignment="1">
      <alignment horizontal="center" vertical="center" wrapText="1"/>
    </xf>
    <xf numFmtId="0" fontId="5" fillId="0" borderId="34" xfId="0" applyFont="1" applyBorder="1" applyAlignment="1">
      <alignment horizontal="center" vertical="center"/>
    </xf>
    <xf numFmtId="0" fontId="5" fillId="0" borderId="35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12" fillId="7" borderId="8" xfId="0" applyFont="1" applyFill="1" applyBorder="1" applyAlignment="1">
      <alignment horizontal="left"/>
    </xf>
    <xf numFmtId="0" fontId="12" fillId="7" borderId="10" xfId="0" applyFont="1" applyFill="1" applyBorder="1" applyAlignment="1">
      <alignment horizontal="left"/>
    </xf>
    <xf numFmtId="0" fontId="12" fillId="7" borderId="33" xfId="0" applyFont="1" applyFill="1" applyBorder="1" applyAlignment="1">
      <alignment horizontal="left"/>
    </xf>
    <xf numFmtId="0" fontId="12" fillId="7" borderId="43" xfId="0" applyFont="1" applyFill="1" applyBorder="1" applyAlignment="1">
      <alignment horizontal="left"/>
    </xf>
    <xf numFmtId="0" fontId="0" fillId="0" borderId="11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12" fillId="5" borderId="20" xfId="0" applyFont="1" applyFill="1" applyBorder="1" applyAlignment="1">
      <alignment horizontal="right"/>
    </xf>
    <xf numFmtId="0" fontId="12" fillId="5" borderId="21" xfId="0" applyFont="1" applyFill="1" applyBorder="1" applyAlignment="1">
      <alignment horizontal="right"/>
    </xf>
    <xf numFmtId="0" fontId="12" fillId="0" borderId="5" xfId="0" applyFont="1" applyBorder="1" applyAlignment="1">
      <alignment horizontal="center"/>
    </xf>
    <xf numFmtId="0" fontId="12" fillId="0" borderId="6" xfId="0" applyFont="1" applyBorder="1" applyAlignment="1">
      <alignment horizontal="center"/>
    </xf>
    <xf numFmtId="0" fontId="14" fillId="0" borderId="5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33" fillId="9" borderId="0" xfId="0" applyFont="1" applyFill="1" applyAlignment="1">
      <alignment horizontal="center"/>
    </xf>
    <xf numFmtId="0" fontId="0" fillId="0" borderId="0" xfId="0" applyBorder="1"/>
    <xf numFmtId="0" fontId="0" fillId="6" borderId="4" xfId="0" applyFill="1" applyBorder="1"/>
    <xf numFmtId="0" fontId="0" fillId="4" borderId="4" xfId="0" applyFill="1" applyBorder="1"/>
  </cellXfs>
  <cellStyles count="6">
    <cellStyle name="Hipervínculo" xfId="4" builtinId="8"/>
    <cellStyle name="Millares" xfId="5" builtinId="3"/>
    <cellStyle name="Millares 2" xfId="1" xr:uid="{692B29BF-DC66-4FA7-AA3F-B05B684E4E8A}"/>
    <cellStyle name="Moneda" xfId="2" builtinId="4"/>
    <cellStyle name="Normal" xfId="0" builtinId="0"/>
    <cellStyle name="Porcentaje" xfId="3" builtinId="5"/>
  </cellStyles>
  <dxfs count="0"/>
  <tableStyles count="0" defaultTableStyle="TableStyleMedium2" defaultPivotStyle="PivotStyleLight16"/>
  <colors>
    <mruColors>
      <color rgb="FFF8971D"/>
      <color rgb="FFFEF0DE"/>
      <color rgb="FFFDE6CB"/>
      <color rgb="FFED551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28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Relationship Id="rId27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C25E-4629-AF40-8E5684E6DCA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C25E-4629-AF40-8E5684E6DCA1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C25E-4629-AF40-8E5684E6DCA1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CO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'Input-Ponderador riesgo'!$C$12:$E$12</c:f>
              <c:strCache>
                <c:ptCount val="3"/>
                <c:pt idx="0">
                  <c:v>Estadificación riesgo Bajo</c:v>
                </c:pt>
                <c:pt idx="1">
                  <c:v>Estadificación riesgo Intermedio </c:v>
                </c:pt>
                <c:pt idx="2">
                  <c:v>Estadificación riesgo Alto</c:v>
                </c:pt>
              </c:strCache>
            </c:strRef>
          </c:cat>
          <c:val>
            <c:numRef>
              <c:f>'Input-Ponderador riesgo'!$C$13:$E$13</c:f>
              <c:numCache>
                <c:formatCode>0.0%</c:formatCode>
                <c:ptCount val="3"/>
                <c:pt idx="0">
                  <c:v>0.35177865612648218</c:v>
                </c:pt>
                <c:pt idx="1">
                  <c:v>0.54545454545454541</c:v>
                </c:pt>
                <c:pt idx="2">
                  <c:v>0.10276679841897232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25E-4629-AF40-8E5684E6DCA1}"/>
            </c:ext>
          </c:extLst>
        </c:ser>
        <c:dLbls>
          <c:showLegendKey val="0"/>
          <c:showVal val="1"/>
          <c:showCatName val="1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'Resultados Costo enfermedad'!$B$87</c:f>
              <c:strCache>
                <c:ptCount val="1"/>
                <c:pt idx="0">
                  <c:v>Costo TOTAL por paciente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1-F895-48AA-B42F-B9DFD0EBF86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1-3945-4146-B4D1-A1B13B5381A7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5-F895-48AA-B42F-B9DFD0EBF866}"/>
              </c:ext>
            </c:extLst>
          </c:dPt>
          <c:dLbls>
            <c:dLbl>
              <c:idx val="0"/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1400" b="1" i="0" u="none" strike="noStrike" kern="1200" spc="0" baseline="0">
                        <a:solidFill>
                          <a:schemeClr val="accent1"/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36DD1955-CE3D-4486-B1F0-E75779D135EF}" type="CELLRANGE">
                      <a:rPr lang="en-US"/>
                      <a:pPr>
                        <a:defRPr/>
                      </a:pPr>
                      <a:t>[CELLRANGE]</a:t>
                    </a:fld>
                    <a:r>
                      <a:rPr lang="en-US" baseline="0"/>
                      <a:t>; </a:t>
                    </a:r>
                    <a:fld id="{AF8BCD2F-7D1D-4B9B-A3CE-53F0C6F6ED40}" type="CATEGORYNAME">
                      <a:rPr lang="en-US" baseline="0"/>
                      <a:pPr>
                        <a:defRPr/>
                      </a:pPr>
                      <a:t>[NOMBRE DE CATEGORÍA]</a:t>
                    </a:fld>
                    <a:r>
                      <a:rPr lang="en-US" baseline="0"/>
                      <a:t>; </a:t>
                    </a:r>
                    <a:fld id="{3A1116C1-D740-478F-A98D-610D9D9C1059}" type="VALUE">
                      <a:rPr lang="en-US" baseline="0"/>
                      <a:pPr>
                        <a:defRPr/>
                      </a:pPr>
                      <a:t>[VALOR]</a:t>
                    </a:fld>
                    <a:endParaRPr lang="en-US" baseline="0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4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CO"/>
                </a:p>
              </c:txPr>
              <c:dLblPos val="outEnd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F895-48AA-B42F-B9DFD0EBF866}"/>
                </c:ext>
              </c:extLst>
            </c:dLbl>
            <c:dLbl>
              <c:idx val="1"/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1400" b="1" i="0" u="none" strike="noStrike" kern="1200" spc="0" baseline="0">
                        <a:solidFill>
                          <a:schemeClr val="accent1"/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C4069C3B-4B6F-40B6-B0C8-9292387CE414}" type="CATEGORYNAME">
                      <a:rPr lang="en-US"/>
                      <a:pPr>
                        <a:defRPr>
                          <a:solidFill>
                            <a:schemeClr val="accent1"/>
                          </a:solidFill>
                        </a:defRPr>
                      </a:pPr>
                      <a:t>[NOMBRE DE CATEGORÍA]</a:t>
                    </a:fld>
                    <a:r>
                      <a:rPr lang="en-US"/>
                      <a:t>; </a:t>
                    </a:r>
                  </a:p>
                  <a:p>
                    <a:pPr>
                      <a:defRPr>
                        <a:solidFill>
                          <a:schemeClr val="accent1"/>
                        </a:solidFill>
                      </a:defRPr>
                    </a:pPr>
                    <a:fld id="{2FBBCB5B-44D6-49D2-8169-F1487EA3779F}" type="VALUE">
                      <a:rPr lang="en-US"/>
                      <a:pPr>
                        <a:defRPr>
                          <a:solidFill>
                            <a:schemeClr val="accent1"/>
                          </a:solidFill>
                        </a:defRPr>
                      </a:pPr>
                      <a:t>[VALOR]</a:t>
                    </a:fld>
                    <a:endParaRPr lang="es-CO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4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CO"/>
                </a:p>
              </c:txPr>
              <c:dLblPos val="outEnd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1"/>
                </c:ext>
                <c:ext xmlns:c16="http://schemas.microsoft.com/office/drawing/2014/chart" uri="{C3380CC4-5D6E-409C-BE32-E72D297353CC}">
                  <c16:uniqueId val="{00000001-3945-4146-B4D1-A1B13B5381A7}"/>
                </c:ext>
              </c:extLst>
            </c:dLbl>
            <c:dLbl>
              <c:idx val="2"/>
              <c:tx>
                <c:rich>
                  <a:bodyPr rot="0" spcFirstLastPara="1" vertOverflow="ellipsis" vert="horz" wrap="square" anchor="ctr" anchorCtr="1"/>
                  <a:lstStyle/>
                  <a:p>
                    <a:pPr>
                      <a:defRPr sz="1400" b="1" i="0" u="none" strike="noStrike" kern="1200" spc="0" baseline="0">
                        <a:solidFill>
                          <a:schemeClr val="accent1"/>
                        </a:solidFill>
                        <a:latin typeface="+mn-lt"/>
                        <a:ea typeface="+mn-ea"/>
                        <a:cs typeface="+mn-cs"/>
                      </a:defRPr>
                    </a:pPr>
                    <a:fld id="{E5F67611-E79C-40A9-B1CB-30C1533F7EBD}" type="CELLRANGE">
                      <a:rPr lang="en-US"/>
                      <a:pPr>
                        <a:defRPr>
                          <a:solidFill>
                            <a:schemeClr val="accent1"/>
                          </a:solidFill>
                        </a:defRPr>
                      </a:pPr>
                      <a:t>[CELLRANGE]</a:t>
                    </a:fld>
                    <a:r>
                      <a:rPr lang="en-US" baseline="0"/>
                      <a:t>; </a:t>
                    </a:r>
                    <a:fld id="{9020BCE4-3632-4146-A37C-985AD37960B0}" type="CATEGORYNAME">
                      <a:rPr lang="en-US" baseline="0"/>
                      <a:pPr>
                        <a:defRPr>
                          <a:solidFill>
                            <a:schemeClr val="accent1"/>
                          </a:solidFill>
                        </a:defRPr>
                      </a:pPr>
                      <a:t>[NOMBRE DE CATEGORÍA]</a:t>
                    </a:fld>
                    <a:r>
                      <a:rPr lang="en-US" baseline="0"/>
                      <a:t>; </a:t>
                    </a:r>
                    <a:fld id="{50214C38-F374-4996-B977-EA2BCA7CA3E7}" type="VALUE">
                      <a:rPr lang="en-US" baseline="0"/>
                      <a:pPr>
                        <a:defRPr>
                          <a:solidFill>
                            <a:schemeClr val="accent1"/>
                          </a:solidFill>
                        </a:defRPr>
                      </a:pPr>
                      <a:t>[VALOR]</a:t>
                    </a:fld>
                    <a:endParaRPr lang="en-US" baseline="0"/>
                  </a:p>
                </c:rich>
              </c:tx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14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CO"/>
                </a:p>
              </c:txPr>
              <c:dLblPos val="outEnd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5-F895-48AA-B42F-B9DFD0EBF866}"/>
                </c:ext>
              </c:extLst>
            </c:dLbl>
            <c:spPr>
              <a:noFill/>
              <a:ln>
                <a:noFill/>
              </a:ln>
              <a:effectLst/>
            </c:spPr>
            <c:dLblPos val="outEnd"/>
            <c:showLegendKey val="0"/>
            <c:showVal val="1"/>
            <c:showCatName val="1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showDataLabelsRange val="1"/>
              </c:ext>
            </c:extLst>
          </c:dLbls>
          <c:cat>
            <c:strRef>
              <c:f>'Resultados Costo enfermedad'!$C$86:$E$86</c:f>
              <c:strCache>
                <c:ptCount val="3"/>
                <c:pt idx="0">
                  <c:v>Estadificación riesgo Bajo</c:v>
                </c:pt>
                <c:pt idx="1">
                  <c:v>Estadificación riesgo Intermedio </c:v>
                </c:pt>
                <c:pt idx="2">
                  <c:v>Estadificación riesgo Alto</c:v>
                </c:pt>
              </c:strCache>
            </c:strRef>
          </c:cat>
          <c:val>
            <c:numRef>
              <c:f>'Resultados Costo enfermedad'!$C$87:$E$87</c:f>
              <c:numCache>
                <c:formatCode>_-[$$-240A]\ * #,##0_-;\-[$$-240A]\ * #,##0_-;_-[$$-240A]\ * "-"??_-;_-@_-</c:formatCode>
                <c:ptCount val="3"/>
                <c:pt idx="0">
                  <c:v>208320723.07764</c:v>
                </c:pt>
                <c:pt idx="1">
                  <c:v>220786082.92820001</c:v>
                </c:pt>
                <c:pt idx="2">
                  <c:v>772512632.16343999</c:v>
                </c:pt>
              </c:numCache>
            </c:numRef>
          </c:val>
          <c:extLst>
            <c:ext xmlns:c15="http://schemas.microsoft.com/office/drawing/2012/chart" uri="{02D57815-91ED-43cb-92C2-25804820EDAC}">
              <c15:datalabelsRange>
                <c15:f>'Resultados Costo enfermedad'!$C$88:$E$88</c15:f>
                <c15:dlblRangeCache>
                  <c:ptCount val="3"/>
                  <c:pt idx="0">
                    <c:v>52%</c:v>
                  </c:pt>
                  <c:pt idx="1">
                    <c:v>55%</c:v>
                  </c:pt>
                  <c:pt idx="2">
                    <c:v>193%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3945-4146-B4D1-A1B13B5381A7}"/>
            </c:ext>
          </c:extLst>
        </c:ser>
        <c:dLbls>
          <c:dLblPos val="outEnd"/>
          <c:showLegendKey val="0"/>
          <c:showVal val="1"/>
          <c:showCatName val="1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400"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'Resultados Costo enfermedad'!$B$10</c:f>
              <c:strCache>
                <c:ptCount val="1"/>
                <c:pt idx="0">
                  <c:v>Distribución de la cohorte por categoria de riesgo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2"/>
              </a:solidFill>
              <a:ln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DBE-4658-8CAC-B2CE7C1B755E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3"/>
              </a:solidFill>
              <a:ln>
                <a:solidFill>
                  <a:schemeClr val="accent3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0DBE-4658-8CAC-B2CE7C1B755E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F2664D23-E0F7-48C4-9331-09026D2A9ECF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; </a:t>
                    </a:r>
                    <a:fld id="{336F1017-0F0B-439D-B9B5-ACB71FC2D8C4}" type="VALUE">
                      <a:rPr lang="en-US" baseline="0"/>
                      <a:pPr/>
                      <a:t>[VALOR]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4-14AF-43AF-AD53-5214FD27810D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EE4B0B5C-4575-4E28-95E7-899DEEA6C137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; </a:t>
                    </a:r>
                    <a:fld id="{1AF1F8BF-E078-4AF3-97DA-18B29D176A36}" type="VALUE">
                      <a:rPr lang="en-US" baseline="0"/>
                      <a:pPr/>
                      <a:t>[VALOR]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0DBE-4658-8CAC-B2CE7C1B755E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73AF94FA-5C39-44E9-B58A-7338B4AB4E0E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; </a:t>
                    </a:r>
                    <a:fld id="{8475EDB0-F148-4E48-AC8C-CB738ADC0901}" type="VALUE">
                      <a:rPr lang="en-US" baseline="0"/>
                      <a:pPr/>
                      <a:t>[VALOR]</a:t>
                    </a:fld>
                    <a:endParaRPr lang="en-US" baseline="0"/>
                  </a:p>
                </c:rich>
              </c:tx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2-0DBE-4658-8CAC-B2CE7C1B755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CO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'Resultados Costo enfermedad'!$C$9:$E$9</c:f>
              <c:strCache>
                <c:ptCount val="3"/>
                <c:pt idx="0">
                  <c:v>Estadificación riesgo Bajo</c:v>
                </c:pt>
                <c:pt idx="1">
                  <c:v>Estadificación riesgo Intermedio</c:v>
                </c:pt>
                <c:pt idx="2">
                  <c:v>Estadificación riesgo Alto</c:v>
                </c:pt>
              </c:strCache>
            </c:strRef>
          </c:cat>
          <c:val>
            <c:numRef>
              <c:f>'Resultados Costo enfermedad'!$C$10:$E$10</c:f>
              <c:numCache>
                <c:formatCode>General</c:formatCode>
                <c:ptCount val="3"/>
                <c:pt idx="0">
                  <c:v>35</c:v>
                </c:pt>
                <c:pt idx="1">
                  <c:v>55</c:v>
                </c:pt>
                <c:pt idx="2">
                  <c:v>10</c:v>
                </c:pt>
              </c:numCache>
            </c:numRef>
          </c:val>
          <c:extLst>
            <c:ext xmlns:c15="http://schemas.microsoft.com/office/drawing/2012/chart" uri="{02D57815-91ED-43cb-92C2-25804820EDAC}">
              <c15:datalabelsRange>
                <c15:f>'Resultados Costo enfermedad'!$C$11:$E$11</c15:f>
                <c15:dlblRangeCache>
                  <c:ptCount val="3"/>
                  <c:pt idx="0">
                    <c:v>35%</c:v>
                  </c:pt>
                  <c:pt idx="1">
                    <c:v>55%</c:v>
                  </c:pt>
                  <c:pt idx="2">
                    <c:v>10%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0DBE-4658-8CAC-B2CE7C1B755E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75"/>
        <c:axId val="678282792"/>
        <c:axId val="678281152"/>
      </c:barChart>
      <c:catAx>
        <c:axId val="6782827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78281152"/>
        <c:crosses val="autoZero"/>
        <c:auto val="1"/>
        <c:lblAlgn val="ctr"/>
        <c:lblOffset val="100"/>
        <c:noMultiLvlLbl val="0"/>
      </c:catAx>
      <c:valAx>
        <c:axId val="6782811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782827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'Resultados Costo enfermedad'!$B$60</c:f>
              <c:strCache>
                <c:ptCount val="1"/>
                <c:pt idx="0">
                  <c:v>Costo anual de tecnologías por paciente año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1"/>
            <c:invertIfNegative val="0"/>
            <c:bubble3D val="0"/>
            <c:spPr>
              <a:solidFill>
                <a:schemeClr val="accent2"/>
              </a:solidFill>
              <a:ln>
                <a:solidFill>
                  <a:schemeClr val="accent2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2C6B-4BE8-9AAC-832865B8FEC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3"/>
              </a:solidFill>
              <a:ln>
                <a:solidFill>
                  <a:schemeClr val="accent3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C6B-4BE8-9AAC-832865B8FEC4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CO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'Resultados Costo enfermedad'!$C$59:$E$59</c:f>
              <c:strCache>
                <c:ptCount val="3"/>
                <c:pt idx="0">
                  <c:v>Estadificación riesgo Bajo</c:v>
                </c:pt>
                <c:pt idx="1">
                  <c:v>Estadificación riesgo Intermedio </c:v>
                </c:pt>
                <c:pt idx="2">
                  <c:v>Estadificación riesgo Alto</c:v>
                </c:pt>
              </c:strCache>
            </c:strRef>
          </c:cat>
          <c:val>
            <c:numRef>
              <c:f>'Resultados Costo enfermedad'!$C$60:$E$60</c:f>
              <c:numCache>
                <c:formatCode>_-[$$-240A]\ * #,##0_-;\-[$$-240A]\ * #,##0_-;_-[$$-240A]\ * "-"??_-;_-@_-</c:formatCode>
                <c:ptCount val="3"/>
                <c:pt idx="0">
                  <c:v>128845172.3</c:v>
                </c:pt>
                <c:pt idx="1">
                  <c:v>136927664.25</c:v>
                </c:pt>
                <c:pt idx="2">
                  <c:v>418913484.99000001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C6B-4BE8-9AAC-832865B8FEC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75"/>
        <c:axId val="682888752"/>
        <c:axId val="689378576"/>
      </c:barChart>
      <c:catAx>
        <c:axId val="6828887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89378576"/>
        <c:crosses val="autoZero"/>
        <c:auto val="1"/>
        <c:lblAlgn val="ctr"/>
        <c:lblOffset val="100"/>
        <c:noMultiLvlLbl val="0"/>
      </c:catAx>
      <c:valAx>
        <c:axId val="689378576"/>
        <c:scaling>
          <c:orientation val="minMax"/>
        </c:scaling>
        <c:delete val="0"/>
        <c:axPos val="b"/>
        <c:numFmt formatCode="_-[$$-240A]\ * #,##0_-;\-[$$-240A]\ * #,##0_-;_-[$$-240A]\ 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682888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400"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2"/>
            </a:solidFill>
            <a:ln w="19050">
              <a:solidFill>
                <a:schemeClr val="lt1"/>
              </a:solidFill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4B7-42A9-93DB-85311805AE99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34B7-42A9-93DB-85311805AE99}"/>
              </c:ext>
            </c:extLst>
          </c:dPt>
          <c:dPt>
            <c:idx val="2"/>
            <c:invertIfNegative val="0"/>
            <c:bubble3D val="0"/>
            <c:spPr>
              <a:solidFill>
                <a:schemeClr val="bg1">
                  <a:lumMod val="65000"/>
                </a:schemeClr>
              </a:solidFill>
              <a:ln w="19050">
                <a:solidFill>
                  <a:schemeClr val="bg1">
                    <a:lumMod val="6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4B7-42A9-93DB-85311805AE99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fld id="{E54EA321-3744-4BD9-B2C7-9B4AF9CE1417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; </a:t>
                    </a:r>
                    <a:fld id="{EBCA8A81-D9BC-457E-9F17-0A6FF1434AA0}" type="CATEGORYNAME">
                      <a:rPr lang="en-US" baseline="0"/>
                      <a:pPr/>
                      <a:t>[NOMBRE DE CATEGORÍA]</a:t>
                    </a:fld>
                    <a:r>
                      <a:rPr lang="en-US" baseline="0"/>
                      <a:t>; </a:t>
                    </a:r>
                    <a:fld id="{CE4F2690-E477-4BE6-9E92-65C87E160092}" type="VALUE">
                      <a:rPr lang="en-US" baseline="0"/>
                      <a:pPr/>
                      <a:t>[VALOR]</a:t>
                    </a:fld>
                    <a:endParaRPr lang="en-US" baseline="0"/>
                  </a:p>
                </c:rich>
              </c:tx>
              <c:dLblPos val="outEnd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1-34B7-42A9-93DB-85311805AE99}"/>
                </c:ext>
              </c:extLst>
            </c:dLbl>
            <c:dLbl>
              <c:idx val="1"/>
              <c:tx>
                <c:rich>
                  <a:bodyPr/>
                  <a:lstStyle/>
                  <a:p>
                    <a:fld id="{2EE428F6-CB60-46A6-82F2-40FF6321FDA3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; </a:t>
                    </a:r>
                    <a:fld id="{BF1E036C-017C-49E5-877E-862E5930B686}" type="CATEGORYNAME">
                      <a:rPr lang="en-US" baseline="0"/>
                      <a:pPr/>
                      <a:t>[NOMBRE DE CATEGORÍA]</a:t>
                    </a:fld>
                    <a:r>
                      <a:rPr lang="en-US" baseline="0"/>
                      <a:t>; </a:t>
                    </a:r>
                    <a:fld id="{791B161A-526A-445C-BA21-265014CCCBC7}" type="VALUE">
                      <a:rPr lang="en-US" baseline="0"/>
                      <a:pPr/>
                      <a:t>[VALOR]</a:t>
                    </a:fld>
                    <a:endParaRPr lang="en-US" baseline="0"/>
                  </a:p>
                </c:rich>
              </c:tx>
              <c:dLblPos val="outEnd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2-34B7-42A9-93DB-85311805AE99}"/>
                </c:ext>
              </c:extLst>
            </c:dLbl>
            <c:dLbl>
              <c:idx val="2"/>
              <c:tx>
                <c:rich>
                  <a:bodyPr/>
                  <a:lstStyle/>
                  <a:p>
                    <a:fld id="{721FEED0-4EF4-413A-BAA8-C03F4798279B}" type="CELLRANGE">
                      <a:rPr lang="en-US"/>
                      <a:pPr/>
                      <a:t>[CELLRANGE]</a:t>
                    </a:fld>
                    <a:r>
                      <a:rPr lang="en-US" baseline="0"/>
                      <a:t>; </a:t>
                    </a:r>
                    <a:fld id="{899F7B77-CF5B-4771-AFA3-8681B04245BC}" type="CATEGORYNAME">
                      <a:rPr lang="en-US" baseline="0"/>
                      <a:pPr/>
                      <a:t>[NOMBRE DE CATEGORÍA]</a:t>
                    </a:fld>
                    <a:r>
                      <a:rPr lang="en-US" baseline="0"/>
                      <a:t>; </a:t>
                    </a:r>
                    <a:fld id="{3F799283-1E34-45AD-B4B8-4CA0C976F0C2}" type="VALUE">
                      <a:rPr lang="en-US" baseline="0"/>
                      <a:pPr/>
                      <a:t>[VALOR]</a:t>
                    </a:fld>
                    <a:endParaRPr lang="en-US" baseline="0"/>
                  </a:p>
                </c:rich>
              </c:tx>
              <c:dLblPos val="outEnd"/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xForSave val="1"/>
                  <c15:showDataLabelsRange val="1"/>
                </c:ext>
                <c:ext xmlns:c16="http://schemas.microsoft.com/office/drawing/2014/chart" uri="{C3380CC4-5D6E-409C-BE32-E72D297353CC}">
                  <c16:uniqueId val="{00000003-34B7-42A9-93DB-85311805AE9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1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CO"/>
              </a:p>
            </c:txPr>
            <c:dLblPos val="outEnd"/>
            <c:showLegendKey val="0"/>
            <c:showVal val="1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DataLabelsRange val="1"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'Resultados Costo enfermedad'!$C$32:$E$32</c:f>
              <c:strCache>
                <c:ptCount val="3"/>
                <c:pt idx="0">
                  <c:v>Estadificación riesgo Bajo</c:v>
                </c:pt>
                <c:pt idx="1">
                  <c:v>Estadificación riesgo Intermedio </c:v>
                </c:pt>
                <c:pt idx="2">
                  <c:v>Estadificación riesgo Alto</c:v>
                </c:pt>
              </c:strCache>
            </c:strRef>
          </c:cat>
          <c:val>
            <c:numRef>
              <c:f>'Resultados Costo enfermedad'!$C$36:$E$36</c:f>
              <c:numCache>
                <c:formatCode>_-[$$-240A]\ * #,##0_-;\-[$$-240A]\ * #,##0_-;_-[$$-240A]\ * "-"??_-;_-@_-</c:formatCode>
                <c:ptCount val="3"/>
                <c:pt idx="0">
                  <c:v>27508136.366400003</c:v>
                </c:pt>
                <c:pt idx="1">
                  <c:v>31422891.735200003</c:v>
                </c:pt>
                <c:pt idx="2">
                  <c:v>300269548.91079998</c:v>
                </c:pt>
              </c:numCache>
            </c:numRef>
          </c:val>
          <c:extLst>
            <c:ext xmlns:c15="http://schemas.microsoft.com/office/drawing/2012/chart" uri="{02D57815-91ED-43cb-92C2-25804820EDAC}">
              <c15:datalabelsRange>
                <c15:f>'Resultados Costo enfermedad'!$C$37:$E$37</c15:f>
                <c15:dlblRangeCache>
                  <c:ptCount val="3"/>
                  <c:pt idx="0">
                    <c:v>23%</c:v>
                  </c:pt>
                  <c:pt idx="1">
                    <c:v>26%</c:v>
                  </c:pt>
                  <c:pt idx="2">
                    <c:v>251%</c:v>
                  </c:pt>
                </c15:dlblRangeCache>
              </c15:datalabelsRange>
            </c:ext>
            <c:ext xmlns:c16="http://schemas.microsoft.com/office/drawing/2014/chart" uri="{C3380CC4-5D6E-409C-BE32-E72D297353CC}">
              <c16:uniqueId val="{00000000-34B7-42A9-93DB-85311805AE9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axId val="898026264"/>
        <c:axId val="898020864"/>
      </c:barChart>
      <c:valAx>
        <c:axId val="898020864"/>
        <c:scaling>
          <c:orientation val="minMax"/>
        </c:scaling>
        <c:delete val="0"/>
        <c:axPos val="l"/>
        <c:numFmt formatCode="_-[$$-240A]\ * #,##0_-;\-[$$-240A]\ * #,##0_-;_-[$$-240A]\ * &quot;-&quot;??_-;_-@_-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898026264"/>
        <c:crosses val="autoZero"/>
        <c:crossBetween val="between"/>
      </c:valAx>
      <c:catAx>
        <c:axId val="89802626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898020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100"/>
      </a:pPr>
      <a:endParaRPr lang="es-CO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colorful4">
  <dgm:title val=""/>
  <dgm:desc val=""/>
  <dgm:catLst>
    <dgm:cat type="colorful" pri="10400"/>
  </dgm:catLst>
  <dgm:styleLbl name="node0">
    <dgm:fillClrLst meth="repeat">
      <a:schemeClr val="accent3"/>
    </dgm:fillClrLst>
    <dgm:linClrLst meth="repeat">
      <a:schemeClr val="lt1"/>
    </dgm:linClrLst>
    <dgm:effectClrLst/>
    <dgm:txLinClrLst/>
    <dgm:txFillClrLst/>
    <dgm:txEffectClrLst/>
  </dgm:styleLbl>
  <dgm:styleLbl name="node1">
    <dgm:fillClrLst>
      <a:schemeClr val="accent4"/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>
      <a:schemeClr val="accent4"/>
      <a:schemeClr val="accent5"/>
    </dgm:fillClrLst>
    <dgm:linClrLst>
      <a:schemeClr val="accent4"/>
      <a:schemeClr val="accent5"/>
    </dgm:linClrLst>
    <dgm:effectClrLst/>
    <dgm:txLinClrLst/>
    <dgm:txFillClrLst/>
    <dgm:txEffectClrLst/>
  </dgm:styleLbl>
  <dgm:styleLbl name="lnNode1">
    <dgm:fillClrLst>
      <a:schemeClr val="accent4"/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>
      <a:schemeClr val="accent4">
        <a:alpha val="50000"/>
      </a:schemeClr>
      <a:schemeClr val="accent5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node3">
    <dgm:fillClrLst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node4">
    <dgm:fillClrLst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>
      <a:schemeClr val="accent4">
        <a:tint val="50000"/>
      </a:schemeClr>
      <a:schemeClr val="accent5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>
      <a:schemeClr val="accent4">
        <a:tint val="50000"/>
      </a:schemeClr>
      <a:schemeClr val="accent5">
        <a:tint val="2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>
      <a:schemeClr val="accent4">
        <a:tint val="50000"/>
      </a:schemeClr>
      <a:schemeClr val="accent5">
        <a:tint val="2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>
      <a:schemeClr val="accent4"/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fgSibTrans2D1">
    <dgm:fillClrLst>
      <a:schemeClr val="accent4"/>
      <a:schemeClr val="accent5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SibTrans2D1">
    <dgm:fillClrLst>
      <a:schemeClr val="accent4"/>
      <a:schemeClr val="accent5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1D1">
    <dgm:fillClrLst/>
    <dgm:linClrLst>
      <a:schemeClr val="accent4"/>
      <a:schemeClr val="accent5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4"/>
    </dgm:fillClrLst>
    <dgm:linClrLst meth="repeat">
      <a:schemeClr val="accent4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4"/>
    </dgm:fillClrLst>
    <dgm:linClrLst meth="repeat">
      <a:schemeClr val="lt1">
        <a:shade val="80000"/>
      </a:schemeClr>
    </dgm:linClrLst>
    <dgm:effectClrLst/>
    <dgm:txLinClrLst/>
    <dgm:txFillClrLst/>
    <dgm:txEffectClrLst/>
  </dgm:styleLbl>
  <dgm:styleLbl name="asst1">
    <dgm:fillClrLst meth="repeat">
      <a:schemeClr val="accent5"/>
    </dgm:fillClrLst>
    <dgm:linClrLst meth="repeat">
      <a:schemeClr val="lt1">
        <a:shade val="80000"/>
      </a:schemeClr>
    </dgm:linClrLst>
    <dgm:effectClrLst/>
    <dgm:txLinClrLst/>
    <dgm:txFillClrLst/>
    <dgm:txEffectClrLst/>
  </dgm:styleLbl>
  <dgm:styleLbl name="asst2">
    <dgm:fillClrLst>
      <a:schemeClr val="accent6"/>
    </dgm:fillClrLst>
    <dgm:linClrLst meth="repeat">
      <a:schemeClr val="lt1"/>
    </dgm:linClrLst>
    <dgm:effectClrLst/>
    <dgm:txLinClrLst/>
    <dgm:txFillClrLst/>
    <dgm:txEffectClrLst/>
  </dgm:styleLbl>
  <dgm:styleLbl name="asst3">
    <dgm:fillClrLst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>
      <a:schemeClr val="accent2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4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parChTrans2D3">
    <dgm:fillClrLst meth="repeat">
      <a:schemeClr val="accent5"/>
    </dgm:fillClrLst>
    <dgm:linClrLst meth="repeat">
      <a:schemeClr val="lt1"/>
    </dgm:linClrLst>
    <dgm:effectClrLst/>
    <dgm:txLinClrLst/>
    <dgm:txFillClrLst/>
    <dgm:txEffectClrLst/>
  </dgm:styleLbl>
  <dgm:styleLbl name="parChTrans2D4">
    <dgm:fillClrLst meth="repeat">
      <a:schemeClr val="accent6"/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4"/>
    </dgm:fillClrLst>
    <dgm:linClrLst meth="repeat">
      <a:schemeClr val="accent4"/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4">
        <a:tint val="90000"/>
      </a:schemeClr>
    </dgm:fillClrLst>
    <dgm:linClrLst meth="repeat">
      <a:schemeClr val="accent5"/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4">
        <a:tint val="70000"/>
      </a:schemeClr>
    </dgm:fillClrLst>
    <dgm:linClrLst meth="repeat">
      <a:schemeClr val="accent6"/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4">
        <a:tint val="50000"/>
      </a:schemeClr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4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>
      <a:schemeClr val="accent4"/>
      <a:schemeClr val="accent5"/>
    </dgm:linClrLst>
    <dgm:effectClrLst/>
    <dgm:txLinClrLst/>
    <dgm:txFillClrLst meth="repeat">
      <a:schemeClr val="dk1"/>
    </dgm:txFillClrLst>
    <dgm:txEffectClrLst/>
  </dgm:styleLbl>
  <dgm:styleLbl name="fgAccFollowNode1">
    <dgm:fillClrLst>
      <a:schemeClr val="accent4">
        <a:tint val="40000"/>
        <a:alpha val="90000"/>
      </a:schemeClr>
      <a:schemeClr val="accent5">
        <a:tint val="40000"/>
        <a:alpha val="90000"/>
      </a:schemeClr>
    </dgm:fillClrLst>
    <dgm:linClrLst>
      <a:schemeClr val="accent4">
        <a:tint val="40000"/>
        <a:alpha val="90000"/>
      </a:schemeClr>
      <a:schemeClr val="accent5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>
      <a:schemeClr val="accent4">
        <a:tint val="40000"/>
        <a:alpha val="90000"/>
      </a:schemeClr>
      <a:schemeClr val="accent5">
        <a:tint val="40000"/>
        <a:alpha val="90000"/>
      </a:schemeClr>
    </dgm:fillClrLst>
    <dgm:linClrLst>
      <a:schemeClr val="accent4">
        <a:tint val="40000"/>
        <a:alpha val="90000"/>
      </a:schemeClr>
      <a:schemeClr val="accent5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>
      <a:schemeClr val="accent4">
        <a:tint val="40000"/>
        <a:alpha val="90000"/>
      </a:schemeClr>
      <a:schemeClr val="accent5">
        <a:tint val="40000"/>
        <a:alpha val="90000"/>
      </a:schemeClr>
    </dgm:fillClrLst>
    <dgm:linClrLst>
      <a:schemeClr val="accent4">
        <a:tint val="40000"/>
        <a:alpha val="90000"/>
      </a:schemeClr>
      <a:schemeClr val="accent5">
        <a:tint val="40000"/>
        <a:alpha val="9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>
      <a:schemeClr val="accent3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>
      <a:schemeClr val="accent5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>
      <a:schemeClr val="accent6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4">
        <a:tint val="40000"/>
      </a:schemeClr>
    </dgm:fillClrLst>
    <dgm:linClrLst meth="repeat">
      <a:schemeClr val="dk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4">
        <a:shade val="90000"/>
      </a:schemeClr>
    </dgm:fillClrLst>
    <dgm:linClrLst meth="repeat">
      <a:schemeClr val="dk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4">
        <a:tint val="50000"/>
        <a:alpha val="40000"/>
      </a:schemeClr>
    </dgm:fillClrLst>
    <dgm:linClrLst meth="repeat">
      <a:schemeClr val="accent4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4">
        <a:tint val="4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C1422466-BF84-4DE1-8001-A6EA64C84797}" type="doc">
      <dgm:prSet loTypeId="urn:microsoft.com/office/officeart/2008/layout/TitlePictureLineup" loCatId="picture" qsTypeId="urn:microsoft.com/office/officeart/2005/8/quickstyle/simple1" qsCatId="simple" csTypeId="urn:microsoft.com/office/officeart/2005/8/colors/colorful4" csCatId="colorful" phldr="1"/>
      <dgm:spPr/>
      <dgm:t>
        <a:bodyPr/>
        <a:lstStyle/>
        <a:p>
          <a:endParaRPr lang="es-ES"/>
        </a:p>
      </dgm:t>
    </dgm:pt>
    <dgm:pt modelId="{0A602720-5FF7-430F-A0FA-72F1ABB6D21C}">
      <dgm:prSet phldrT="[Texto]" custT="1"/>
      <dgm:spPr/>
      <dgm:t>
        <a:bodyPr/>
        <a:lstStyle/>
        <a:p>
          <a:r>
            <a:rPr lang="es-ES" sz="1600"/>
            <a:t>Categoria bajo riesgo</a:t>
          </a:r>
        </a:p>
      </dgm:t>
    </dgm:pt>
    <dgm:pt modelId="{D4925E44-3F45-48DD-9A79-9D4825F4FC8E}" type="parTrans" cxnId="{BB211A39-1002-4E5F-8F03-8E333DEB6ED4}">
      <dgm:prSet/>
      <dgm:spPr/>
      <dgm:t>
        <a:bodyPr/>
        <a:lstStyle/>
        <a:p>
          <a:endParaRPr lang="es-ES" sz="1600"/>
        </a:p>
      </dgm:t>
    </dgm:pt>
    <dgm:pt modelId="{C695E1F1-63AD-48D5-8CAD-ADA936C0723C}" type="sibTrans" cxnId="{BB211A39-1002-4E5F-8F03-8E333DEB6ED4}">
      <dgm:prSet/>
      <dgm:spPr/>
      <dgm:t>
        <a:bodyPr/>
        <a:lstStyle/>
        <a:p>
          <a:endParaRPr lang="es-ES" sz="1600"/>
        </a:p>
      </dgm:t>
    </dgm:pt>
    <dgm:pt modelId="{C87D6ACF-D178-4CF4-952E-953F10AAFAE8}">
      <dgm:prSet phldrT="[Texto]" custT="1"/>
      <dgm:spPr>
        <a:noFill/>
        <a:ln>
          <a:noFill/>
        </a:ln>
        <a:effectLst/>
      </dgm:spPr>
      <dgm:t>
        <a:bodyPr spcFirstLastPara="0" vert="horz" wrap="square" lIns="27940" tIns="27940" rIns="27940" bIns="27940" numCol="1" spcCol="1270" anchor="ctr" anchorCtr="0"/>
        <a:lstStyle/>
        <a:p>
          <a:r>
            <a:rPr lang="es-ES" sz="1600" kern="1200"/>
            <a:t>Proporción de </a:t>
          </a:r>
          <a:r>
            <a:rPr lang="es-ES" sz="1600" kern="1200">
              <a:solidFill>
                <a:sysClr val="windowText" lastClr="000000">
                  <a:hueOff val="0"/>
                  <a:satOff val="0"/>
                  <a:lumOff val="0"/>
                  <a:alphaOff val="0"/>
                </a:sysClr>
              </a:solidFill>
              <a:latin typeface="Calibri" panose="020F0502020204030204"/>
              <a:ea typeface="+mn-ea"/>
              <a:cs typeface="+mn-cs"/>
            </a:rPr>
            <a:t>pacientes</a:t>
          </a:r>
          <a:endParaRPr lang="es-ES" sz="1600" kern="1200"/>
        </a:p>
        <a:p>
          <a:r>
            <a:rPr lang="es-ES" sz="1600" kern="1200"/>
            <a:t>Costos de atención</a:t>
          </a:r>
        </a:p>
      </dgm:t>
    </dgm:pt>
    <dgm:pt modelId="{1E22817F-166A-4211-A445-1320626CE9C4}" type="parTrans" cxnId="{C5F927E9-CCAB-4CB2-AB21-D346A2E974E3}">
      <dgm:prSet/>
      <dgm:spPr/>
      <dgm:t>
        <a:bodyPr/>
        <a:lstStyle/>
        <a:p>
          <a:endParaRPr lang="es-ES" sz="1600"/>
        </a:p>
      </dgm:t>
    </dgm:pt>
    <dgm:pt modelId="{BC2002CB-ED99-49D6-856D-F88AF5E666A6}" type="sibTrans" cxnId="{C5F927E9-CCAB-4CB2-AB21-D346A2E974E3}">
      <dgm:prSet/>
      <dgm:spPr/>
      <dgm:t>
        <a:bodyPr/>
        <a:lstStyle/>
        <a:p>
          <a:endParaRPr lang="es-ES" sz="1600"/>
        </a:p>
      </dgm:t>
    </dgm:pt>
    <dgm:pt modelId="{3A9B5236-08B5-48D6-92E6-F16B584AC13B}">
      <dgm:prSet phldrT="[Texto]" custT="1"/>
      <dgm:spPr/>
      <dgm:t>
        <a:bodyPr/>
        <a:lstStyle/>
        <a:p>
          <a:r>
            <a:rPr lang="es-ES" sz="1600"/>
            <a:t>Categoria intermedio riesgo</a:t>
          </a:r>
        </a:p>
      </dgm:t>
    </dgm:pt>
    <dgm:pt modelId="{50A97DDD-FBD6-4464-A488-FAF6E1B6AF45}" type="parTrans" cxnId="{223D2C44-D891-4515-969B-C35338FABA89}">
      <dgm:prSet/>
      <dgm:spPr/>
      <dgm:t>
        <a:bodyPr/>
        <a:lstStyle/>
        <a:p>
          <a:endParaRPr lang="es-ES" sz="1600"/>
        </a:p>
      </dgm:t>
    </dgm:pt>
    <dgm:pt modelId="{6CC076F6-4652-4D3C-9EBD-86A7C59EB00F}" type="sibTrans" cxnId="{223D2C44-D891-4515-969B-C35338FABA89}">
      <dgm:prSet/>
      <dgm:spPr/>
      <dgm:t>
        <a:bodyPr/>
        <a:lstStyle/>
        <a:p>
          <a:endParaRPr lang="es-ES" sz="1600"/>
        </a:p>
      </dgm:t>
    </dgm:pt>
    <dgm:pt modelId="{F06B8839-380A-4248-B1A6-6D17651FB67B}">
      <dgm:prSet phldrT="[Texto]" custT="1"/>
      <dgm:spPr>
        <a:noFill/>
        <a:ln>
          <a:noFill/>
        </a:ln>
        <a:effectLst/>
      </dgm:spPr>
      <dgm:t>
        <a:bodyPr spcFirstLastPara="0" vert="horz" wrap="square" lIns="27940" tIns="27940" rIns="27940" bIns="27940" numCol="1" spcCol="1270" anchor="ctr" anchorCtr="0"/>
        <a:lstStyle/>
        <a:p>
          <a:pPr algn="ctr"/>
          <a:r>
            <a:rPr lang="es-ES" sz="1600" kern="1200"/>
            <a:t>Proporción de pacientes</a:t>
          </a:r>
        </a:p>
        <a:p>
          <a:pPr algn="ctr"/>
          <a:r>
            <a:rPr lang="es-ES" sz="1600" kern="1200">
              <a:solidFill>
                <a:sysClr val="windowText" lastClr="000000">
                  <a:hueOff val="0"/>
                  <a:satOff val="0"/>
                  <a:lumOff val="0"/>
                  <a:alphaOff val="0"/>
                </a:sysClr>
              </a:solidFill>
              <a:latin typeface="Calibri" panose="020F0502020204030204"/>
              <a:ea typeface="+mn-ea"/>
              <a:cs typeface="+mn-cs"/>
            </a:rPr>
            <a:t>Costos de atención</a:t>
          </a:r>
        </a:p>
      </dgm:t>
    </dgm:pt>
    <dgm:pt modelId="{97625363-C529-4A93-AEC7-A8BB0FB651DE}" type="parTrans" cxnId="{EC8848DA-79C8-4D15-8FB1-88C45B4BE596}">
      <dgm:prSet/>
      <dgm:spPr/>
      <dgm:t>
        <a:bodyPr/>
        <a:lstStyle/>
        <a:p>
          <a:endParaRPr lang="es-ES" sz="1600"/>
        </a:p>
      </dgm:t>
    </dgm:pt>
    <dgm:pt modelId="{0ABE7142-5F44-4895-8713-27C34A4B56E6}" type="sibTrans" cxnId="{EC8848DA-79C8-4D15-8FB1-88C45B4BE596}">
      <dgm:prSet/>
      <dgm:spPr/>
      <dgm:t>
        <a:bodyPr/>
        <a:lstStyle/>
        <a:p>
          <a:endParaRPr lang="es-ES" sz="1600"/>
        </a:p>
      </dgm:t>
    </dgm:pt>
    <dgm:pt modelId="{8E56F49C-020B-4AAE-A12A-1E7E2062515B}">
      <dgm:prSet custT="1"/>
      <dgm:spPr/>
      <dgm:t>
        <a:bodyPr/>
        <a:lstStyle/>
        <a:p>
          <a:r>
            <a:rPr lang="es-ES" sz="1600"/>
            <a:t>Categoria alto riesgo</a:t>
          </a:r>
        </a:p>
      </dgm:t>
    </dgm:pt>
    <dgm:pt modelId="{442CDDA8-3947-44EA-8D91-E078B447F464}" type="parTrans" cxnId="{7B722E38-339E-4623-BFC8-84438EC2EB5A}">
      <dgm:prSet/>
      <dgm:spPr/>
      <dgm:t>
        <a:bodyPr/>
        <a:lstStyle/>
        <a:p>
          <a:endParaRPr lang="es-ES" sz="1600"/>
        </a:p>
      </dgm:t>
    </dgm:pt>
    <dgm:pt modelId="{6228DF21-F09C-4A41-B3CF-C33651717349}" type="sibTrans" cxnId="{7B722E38-339E-4623-BFC8-84438EC2EB5A}">
      <dgm:prSet/>
      <dgm:spPr/>
      <dgm:t>
        <a:bodyPr/>
        <a:lstStyle/>
        <a:p>
          <a:endParaRPr lang="es-ES" sz="1600"/>
        </a:p>
      </dgm:t>
    </dgm:pt>
    <dgm:pt modelId="{E9ECB484-7D48-4228-B8F4-AAB0C55FF6F1}">
      <dgm:prSet custT="1"/>
      <dgm:spPr/>
      <dgm:t>
        <a:bodyPr/>
        <a:lstStyle/>
        <a:p>
          <a:r>
            <a:rPr lang="es-ES" sz="1600"/>
            <a:t>Proporción de pacientes</a:t>
          </a:r>
        </a:p>
        <a:p>
          <a:r>
            <a:rPr lang="es-ES" sz="1600"/>
            <a:t>Costos de atención</a:t>
          </a:r>
        </a:p>
      </dgm:t>
    </dgm:pt>
    <dgm:pt modelId="{A42B0397-185A-4046-B49B-8F423C166F69}" type="parTrans" cxnId="{1E23CDC7-2670-439F-A281-6E20085582CD}">
      <dgm:prSet/>
      <dgm:spPr/>
      <dgm:t>
        <a:bodyPr/>
        <a:lstStyle/>
        <a:p>
          <a:endParaRPr lang="es-ES" sz="1600"/>
        </a:p>
      </dgm:t>
    </dgm:pt>
    <dgm:pt modelId="{1FE10917-EE05-4807-A573-EEB4360C85ED}" type="sibTrans" cxnId="{1E23CDC7-2670-439F-A281-6E20085582CD}">
      <dgm:prSet/>
      <dgm:spPr/>
      <dgm:t>
        <a:bodyPr/>
        <a:lstStyle/>
        <a:p>
          <a:endParaRPr lang="es-ES" sz="1600"/>
        </a:p>
      </dgm:t>
    </dgm:pt>
    <dgm:pt modelId="{BDABB2D3-BC63-4187-9771-DC6C09B14863}" type="pres">
      <dgm:prSet presAssocID="{C1422466-BF84-4DE1-8001-A6EA64C84797}" presName="Name0" presStyleCnt="0">
        <dgm:presLayoutVars>
          <dgm:dir/>
        </dgm:presLayoutVars>
      </dgm:prSet>
      <dgm:spPr/>
    </dgm:pt>
    <dgm:pt modelId="{71281529-0EDB-4311-BD20-B65ACBBD8CA0}" type="pres">
      <dgm:prSet presAssocID="{0A602720-5FF7-430F-A0FA-72F1ABB6D21C}" presName="composite" presStyleCnt="0"/>
      <dgm:spPr/>
    </dgm:pt>
    <dgm:pt modelId="{6F83A56D-7261-4C43-9F1C-47FA837A2A55}" type="pres">
      <dgm:prSet presAssocID="{0A602720-5FF7-430F-A0FA-72F1ABB6D21C}" presName="Accent" presStyleLbl="alignAcc1" presStyleIdx="0" presStyleCnt="3"/>
      <dgm:spPr/>
    </dgm:pt>
    <dgm:pt modelId="{F4444BF7-768D-4668-8855-002AC071274D}" type="pres">
      <dgm:prSet presAssocID="{0A602720-5FF7-430F-A0FA-72F1ABB6D21C}" presName="Image" presStyleLbl="node1" presStyleIdx="0" presStyleCnt="3" custScaleX="60754" custScaleY="50183" custLinFactNeighborX="-2324" custLinFactNeighborY="20370"/>
      <dgm:spPr/>
    </dgm:pt>
    <dgm:pt modelId="{FA352C9D-4F36-4B9D-99D0-E8251B1F669A}" type="pres">
      <dgm:prSet presAssocID="{0A602720-5FF7-430F-A0FA-72F1ABB6D21C}" presName="Child" presStyleLbl="revTx" presStyleIdx="0" presStyleCnt="3">
        <dgm:presLayoutVars>
          <dgm:bulletEnabled val="1"/>
        </dgm:presLayoutVars>
      </dgm:prSet>
      <dgm:spPr>
        <a:xfrm>
          <a:off x="52858" y="1444341"/>
          <a:ext cx="962302" cy="945326"/>
        </a:xfrm>
        <a:prstGeom prst="rect">
          <a:avLst/>
        </a:prstGeom>
      </dgm:spPr>
    </dgm:pt>
    <dgm:pt modelId="{5D02F349-0E1A-4584-ACCC-87C1DBAF58EE}" type="pres">
      <dgm:prSet presAssocID="{0A602720-5FF7-430F-A0FA-72F1ABB6D21C}" presName="Parent" presStyleLbl="alignNode1" presStyleIdx="0" presStyleCnt="3" custScaleY="229016" custLinFactNeighborX="1100" custLinFactNeighborY="43998">
        <dgm:presLayoutVars>
          <dgm:bulletEnabled val="1"/>
        </dgm:presLayoutVars>
      </dgm:prSet>
      <dgm:spPr/>
    </dgm:pt>
    <dgm:pt modelId="{7AD60FAA-CC38-4962-999B-B18B891E5885}" type="pres">
      <dgm:prSet presAssocID="{C695E1F1-63AD-48D5-8CAD-ADA936C0723C}" presName="sibTrans" presStyleCnt="0"/>
      <dgm:spPr/>
    </dgm:pt>
    <dgm:pt modelId="{7D81C98C-E9A3-49F8-86FB-9AB313AF763F}" type="pres">
      <dgm:prSet presAssocID="{3A9B5236-08B5-48D6-92E6-F16B584AC13B}" presName="composite" presStyleCnt="0"/>
      <dgm:spPr/>
    </dgm:pt>
    <dgm:pt modelId="{C594AFB8-9B82-4A7E-9707-8CC14A145B52}" type="pres">
      <dgm:prSet presAssocID="{3A9B5236-08B5-48D6-92E6-F16B584AC13B}" presName="Accent" presStyleLbl="alignAcc1" presStyleIdx="1" presStyleCnt="3"/>
      <dgm:spPr/>
    </dgm:pt>
    <dgm:pt modelId="{CD99D040-9D4A-49B3-9694-B71E283BF117}" type="pres">
      <dgm:prSet presAssocID="{3A9B5236-08B5-48D6-92E6-F16B584AC13B}" presName="Image" presStyleLbl="node1" presStyleIdx="1" presStyleCnt="3" custScaleX="49058" custScaleY="49815" custLinFactNeighborY="14938"/>
      <dgm:spPr/>
    </dgm:pt>
    <dgm:pt modelId="{0C04DA24-A297-41F7-BB8E-B3925619E830}" type="pres">
      <dgm:prSet presAssocID="{3A9B5236-08B5-48D6-92E6-F16B584AC13B}" presName="Child" presStyleLbl="revTx" presStyleIdx="1" presStyleCnt="3">
        <dgm:presLayoutVars>
          <dgm:bulletEnabled val="1"/>
        </dgm:presLayoutVars>
      </dgm:prSet>
      <dgm:spPr>
        <a:xfrm>
          <a:off x="1238792" y="1444341"/>
          <a:ext cx="962302" cy="945326"/>
        </a:xfrm>
        <a:prstGeom prst="rect">
          <a:avLst/>
        </a:prstGeom>
      </dgm:spPr>
    </dgm:pt>
    <dgm:pt modelId="{DC84582E-76FC-4031-A0C5-EAE054E3A4A2}" type="pres">
      <dgm:prSet presAssocID="{3A9B5236-08B5-48D6-92E6-F16B584AC13B}" presName="Parent" presStyleLbl="alignNode1" presStyleIdx="1" presStyleCnt="3" custScaleY="275252" custLinFactNeighborX="1100" custLinFactNeighborY="38499">
        <dgm:presLayoutVars>
          <dgm:bulletEnabled val="1"/>
        </dgm:presLayoutVars>
      </dgm:prSet>
      <dgm:spPr/>
    </dgm:pt>
    <dgm:pt modelId="{4052972D-A214-486C-92E5-678E756A2490}" type="pres">
      <dgm:prSet presAssocID="{6CC076F6-4652-4D3C-9EBD-86A7C59EB00F}" presName="sibTrans" presStyleCnt="0"/>
      <dgm:spPr/>
    </dgm:pt>
    <dgm:pt modelId="{56970AC6-EE89-488A-9069-D46D2AC8582A}" type="pres">
      <dgm:prSet presAssocID="{8E56F49C-020B-4AAE-A12A-1E7E2062515B}" presName="composite" presStyleCnt="0"/>
      <dgm:spPr/>
    </dgm:pt>
    <dgm:pt modelId="{3EB28CCA-79A9-44AC-95CA-E76DA5DA2CC9}" type="pres">
      <dgm:prSet presAssocID="{8E56F49C-020B-4AAE-A12A-1E7E2062515B}" presName="Accent" presStyleLbl="alignAcc1" presStyleIdx="2" presStyleCnt="3"/>
      <dgm:spPr/>
    </dgm:pt>
    <dgm:pt modelId="{A991976D-98C1-4E04-A9D2-E8570E23B04A}" type="pres">
      <dgm:prSet presAssocID="{8E56F49C-020B-4AAE-A12A-1E7E2062515B}" presName="Image" presStyleLbl="node1" presStyleIdx="2" presStyleCnt="3" custScaleX="55873" custScaleY="58607" custLinFactNeighborX="0" custLinFactNeighborY="20370"/>
      <dgm:spPr/>
    </dgm:pt>
    <dgm:pt modelId="{B0E547B3-7190-4B7D-87E5-6AD393FF7602}" type="pres">
      <dgm:prSet presAssocID="{8E56F49C-020B-4AAE-A12A-1E7E2062515B}" presName="Child" presStyleLbl="revTx" presStyleIdx="2" presStyleCnt="3" custScaleY="58491" custLinFactNeighborX="-1162" custLinFactNeighborY="-9335">
        <dgm:presLayoutVars>
          <dgm:bulletEnabled val="1"/>
        </dgm:presLayoutVars>
      </dgm:prSet>
      <dgm:spPr/>
    </dgm:pt>
    <dgm:pt modelId="{4CAE5681-E563-4CC3-9D74-025977D8F863}" type="pres">
      <dgm:prSet presAssocID="{8E56F49C-020B-4AAE-A12A-1E7E2062515B}" presName="Parent" presStyleLbl="alignNode1" presStyleIdx="2" presStyleCnt="3" custScaleY="239643" custLinFactNeighborY="43999">
        <dgm:presLayoutVars>
          <dgm:bulletEnabled val="1"/>
        </dgm:presLayoutVars>
      </dgm:prSet>
      <dgm:spPr/>
    </dgm:pt>
  </dgm:ptLst>
  <dgm:cxnLst>
    <dgm:cxn modelId="{7B722E38-339E-4623-BFC8-84438EC2EB5A}" srcId="{C1422466-BF84-4DE1-8001-A6EA64C84797}" destId="{8E56F49C-020B-4AAE-A12A-1E7E2062515B}" srcOrd="2" destOrd="0" parTransId="{442CDDA8-3947-44EA-8D91-E078B447F464}" sibTransId="{6228DF21-F09C-4A41-B3CF-C33651717349}"/>
    <dgm:cxn modelId="{BB211A39-1002-4E5F-8F03-8E333DEB6ED4}" srcId="{C1422466-BF84-4DE1-8001-A6EA64C84797}" destId="{0A602720-5FF7-430F-A0FA-72F1ABB6D21C}" srcOrd="0" destOrd="0" parTransId="{D4925E44-3F45-48DD-9A79-9D4825F4FC8E}" sibTransId="{C695E1F1-63AD-48D5-8CAD-ADA936C0723C}"/>
    <dgm:cxn modelId="{368FF139-37B5-487B-B7ED-B447633E1727}" type="presOf" srcId="{C87D6ACF-D178-4CF4-952E-953F10AAFAE8}" destId="{FA352C9D-4F36-4B9D-99D0-E8251B1F669A}" srcOrd="0" destOrd="0" presId="urn:microsoft.com/office/officeart/2008/layout/TitlePictureLineup"/>
    <dgm:cxn modelId="{223D2C44-D891-4515-969B-C35338FABA89}" srcId="{C1422466-BF84-4DE1-8001-A6EA64C84797}" destId="{3A9B5236-08B5-48D6-92E6-F16B584AC13B}" srcOrd="1" destOrd="0" parTransId="{50A97DDD-FBD6-4464-A488-FAF6E1B6AF45}" sibTransId="{6CC076F6-4652-4D3C-9EBD-86A7C59EB00F}"/>
    <dgm:cxn modelId="{ADE33F6F-319E-4880-9262-D666C188BF19}" type="presOf" srcId="{F06B8839-380A-4248-B1A6-6D17651FB67B}" destId="{0C04DA24-A297-41F7-BB8E-B3925619E830}" srcOrd="0" destOrd="0" presId="urn:microsoft.com/office/officeart/2008/layout/TitlePictureLineup"/>
    <dgm:cxn modelId="{D8DF317C-26AB-4882-9DA3-C7F96D89927C}" type="presOf" srcId="{0A602720-5FF7-430F-A0FA-72F1ABB6D21C}" destId="{5D02F349-0E1A-4584-ACCC-87C1DBAF58EE}" srcOrd="0" destOrd="0" presId="urn:microsoft.com/office/officeart/2008/layout/TitlePictureLineup"/>
    <dgm:cxn modelId="{827D5B97-BFD6-4711-B347-AA8A0BF22F78}" type="presOf" srcId="{E9ECB484-7D48-4228-B8F4-AAB0C55FF6F1}" destId="{B0E547B3-7190-4B7D-87E5-6AD393FF7602}" srcOrd="0" destOrd="0" presId="urn:microsoft.com/office/officeart/2008/layout/TitlePictureLineup"/>
    <dgm:cxn modelId="{1E23CDC7-2670-439F-A281-6E20085582CD}" srcId="{8E56F49C-020B-4AAE-A12A-1E7E2062515B}" destId="{E9ECB484-7D48-4228-B8F4-AAB0C55FF6F1}" srcOrd="0" destOrd="0" parTransId="{A42B0397-185A-4046-B49B-8F423C166F69}" sibTransId="{1FE10917-EE05-4807-A573-EEB4360C85ED}"/>
    <dgm:cxn modelId="{4F06BBCB-D6A0-4253-AB88-BC5BBC216A88}" type="presOf" srcId="{8E56F49C-020B-4AAE-A12A-1E7E2062515B}" destId="{4CAE5681-E563-4CC3-9D74-025977D8F863}" srcOrd="0" destOrd="0" presId="urn:microsoft.com/office/officeart/2008/layout/TitlePictureLineup"/>
    <dgm:cxn modelId="{046024D6-4CCA-4A6E-8972-A2D224745CB1}" type="presOf" srcId="{3A9B5236-08B5-48D6-92E6-F16B584AC13B}" destId="{DC84582E-76FC-4031-A0C5-EAE054E3A4A2}" srcOrd="0" destOrd="0" presId="urn:microsoft.com/office/officeart/2008/layout/TitlePictureLineup"/>
    <dgm:cxn modelId="{EC8848DA-79C8-4D15-8FB1-88C45B4BE596}" srcId="{3A9B5236-08B5-48D6-92E6-F16B584AC13B}" destId="{F06B8839-380A-4248-B1A6-6D17651FB67B}" srcOrd="0" destOrd="0" parTransId="{97625363-C529-4A93-AEC7-A8BB0FB651DE}" sibTransId="{0ABE7142-5F44-4895-8713-27C34A4B56E6}"/>
    <dgm:cxn modelId="{88CE48E7-8CE0-4D73-B4D1-F5BED3F7B718}" type="presOf" srcId="{C1422466-BF84-4DE1-8001-A6EA64C84797}" destId="{BDABB2D3-BC63-4187-9771-DC6C09B14863}" srcOrd="0" destOrd="0" presId="urn:microsoft.com/office/officeart/2008/layout/TitlePictureLineup"/>
    <dgm:cxn modelId="{C5F927E9-CCAB-4CB2-AB21-D346A2E974E3}" srcId="{0A602720-5FF7-430F-A0FA-72F1ABB6D21C}" destId="{C87D6ACF-D178-4CF4-952E-953F10AAFAE8}" srcOrd="0" destOrd="0" parTransId="{1E22817F-166A-4211-A445-1320626CE9C4}" sibTransId="{BC2002CB-ED99-49D6-856D-F88AF5E666A6}"/>
    <dgm:cxn modelId="{F814C2FB-E24F-4DD8-9749-AA1F37194134}" type="presParOf" srcId="{BDABB2D3-BC63-4187-9771-DC6C09B14863}" destId="{71281529-0EDB-4311-BD20-B65ACBBD8CA0}" srcOrd="0" destOrd="0" presId="urn:microsoft.com/office/officeart/2008/layout/TitlePictureLineup"/>
    <dgm:cxn modelId="{DD4E9DA0-BFE8-410B-B2D5-719FCA980690}" type="presParOf" srcId="{71281529-0EDB-4311-BD20-B65ACBBD8CA0}" destId="{6F83A56D-7261-4C43-9F1C-47FA837A2A55}" srcOrd="0" destOrd="0" presId="urn:microsoft.com/office/officeart/2008/layout/TitlePictureLineup"/>
    <dgm:cxn modelId="{3799DB2C-DC2C-4B86-B448-88D8BB6265A5}" type="presParOf" srcId="{71281529-0EDB-4311-BD20-B65ACBBD8CA0}" destId="{F4444BF7-768D-4668-8855-002AC071274D}" srcOrd="1" destOrd="0" presId="urn:microsoft.com/office/officeart/2008/layout/TitlePictureLineup"/>
    <dgm:cxn modelId="{65932C92-F7A2-458C-A2F2-5DF8109777AE}" type="presParOf" srcId="{71281529-0EDB-4311-BD20-B65ACBBD8CA0}" destId="{FA352C9D-4F36-4B9D-99D0-E8251B1F669A}" srcOrd="2" destOrd="0" presId="urn:microsoft.com/office/officeart/2008/layout/TitlePictureLineup"/>
    <dgm:cxn modelId="{8E076F18-CCC8-4697-9AE3-976130C3679E}" type="presParOf" srcId="{71281529-0EDB-4311-BD20-B65ACBBD8CA0}" destId="{5D02F349-0E1A-4584-ACCC-87C1DBAF58EE}" srcOrd="3" destOrd="0" presId="urn:microsoft.com/office/officeart/2008/layout/TitlePictureLineup"/>
    <dgm:cxn modelId="{1D4C6F36-9A36-4172-A5E2-068BDD7D2825}" type="presParOf" srcId="{BDABB2D3-BC63-4187-9771-DC6C09B14863}" destId="{7AD60FAA-CC38-4962-999B-B18B891E5885}" srcOrd="1" destOrd="0" presId="urn:microsoft.com/office/officeart/2008/layout/TitlePictureLineup"/>
    <dgm:cxn modelId="{95490F52-EA29-4CCB-B986-CC3452C55539}" type="presParOf" srcId="{BDABB2D3-BC63-4187-9771-DC6C09B14863}" destId="{7D81C98C-E9A3-49F8-86FB-9AB313AF763F}" srcOrd="2" destOrd="0" presId="urn:microsoft.com/office/officeart/2008/layout/TitlePictureLineup"/>
    <dgm:cxn modelId="{CE751E92-B4BE-49E4-AEE9-33998E9A6CF1}" type="presParOf" srcId="{7D81C98C-E9A3-49F8-86FB-9AB313AF763F}" destId="{C594AFB8-9B82-4A7E-9707-8CC14A145B52}" srcOrd="0" destOrd="0" presId="urn:microsoft.com/office/officeart/2008/layout/TitlePictureLineup"/>
    <dgm:cxn modelId="{144FAFAA-4AB3-4D9C-A3C2-F11103169482}" type="presParOf" srcId="{7D81C98C-E9A3-49F8-86FB-9AB313AF763F}" destId="{CD99D040-9D4A-49B3-9694-B71E283BF117}" srcOrd="1" destOrd="0" presId="urn:microsoft.com/office/officeart/2008/layout/TitlePictureLineup"/>
    <dgm:cxn modelId="{0A44662F-5D55-49AC-9FB4-DF2D509170DD}" type="presParOf" srcId="{7D81C98C-E9A3-49F8-86FB-9AB313AF763F}" destId="{0C04DA24-A297-41F7-BB8E-B3925619E830}" srcOrd="2" destOrd="0" presId="urn:microsoft.com/office/officeart/2008/layout/TitlePictureLineup"/>
    <dgm:cxn modelId="{CFDA5844-BD7F-4B0B-ADE5-95EFAD246141}" type="presParOf" srcId="{7D81C98C-E9A3-49F8-86FB-9AB313AF763F}" destId="{DC84582E-76FC-4031-A0C5-EAE054E3A4A2}" srcOrd="3" destOrd="0" presId="urn:microsoft.com/office/officeart/2008/layout/TitlePictureLineup"/>
    <dgm:cxn modelId="{6746A8EC-03F6-4ECB-9E86-5570F80F9C4B}" type="presParOf" srcId="{BDABB2D3-BC63-4187-9771-DC6C09B14863}" destId="{4052972D-A214-486C-92E5-678E756A2490}" srcOrd="3" destOrd="0" presId="urn:microsoft.com/office/officeart/2008/layout/TitlePictureLineup"/>
    <dgm:cxn modelId="{F9975CFB-D925-44CF-BC40-114400040E7E}" type="presParOf" srcId="{BDABB2D3-BC63-4187-9771-DC6C09B14863}" destId="{56970AC6-EE89-488A-9069-D46D2AC8582A}" srcOrd="4" destOrd="0" presId="urn:microsoft.com/office/officeart/2008/layout/TitlePictureLineup"/>
    <dgm:cxn modelId="{830FAE88-6CBA-4DAF-B64E-0458AD808FA5}" type="presParOf" srcId="{56970AC6-EE89-488A-9069-D46D2AC8582A}" destId="{3EB28CCA-79A9-44AC-95CA-E76DA5DA2CC9}" srcOrd="0" destOrd="0" presId="urn:microsoft.com/office/officeart/2008/layout/TitlePictureLineup"/>
    <dgm:cxn modelId="{D6EF75A1-339C-4931-8E3B-3D52C5443564}" type="presParOf" srcId="{56970AC6-EE89-488A-9069-D46D2AC8582A}" destId="{A991976D-98C1-4E04-A9D2-E8570E23B04A}" srcOrd="1" destOrd="0" presId="urn:microsoft.com/office/officeart/2008/layout/TitlePictureLineup"/>
    <dgm:cxn modelId="{7C1C743E-EC19-471F-BA52-AF0E49DBC0F6}" type="presParOf" srcId="{56970AC6-EE89-488A-9069-D46D2AC8582A}" destId="{B0E547B3-7190-4B7D-87E5-6AD393FF7602}" srcOrd="2" destOrd="0" presId="urn:microsoft.com/office/officeart/2008/layout/TitlePictureLineup"/>
    <dgm:cxn modelId="{DF63286C-16BB-47F7-8D41-E5D0B46ABBB7}" type="presParOf" srcId="{56970AC6-EE89-488A-9069-D46D2AC8582A}" destId="{4CAE5681-E563-4CC3-9D74-025977D8F863}" srcOrd="3" destOrd="0" presId="urn:microsoft.com/office/officeart/2008/layout/TitlePictureLineup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6F83A56D-7261-4C43-9F1C-47FA837A2A55}">
      <dsp:nvSpPr>
        <dsp:cNvPr id="0" name=""/>
        <dsp:cNvSpPr/>
      </dsp:nvSpPr>
      <dsp:spPr>
        <a:xfrm>
          <a:off x="4853467" y="293528"/>
          <a:ext cx="0" cy="2179959"/>
        </a:xfrm>
        <a:prstGeom prst="line">
          <a:avLst/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accent4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F4444BF7-768D-4668-8855-002AC071274D}">
      <dsp:nvSpPr>
        <dsp:cNvPr id="0" name=""/>
        <dsp:cNvSpPr/>
      </dsp:nvSpPr>
      <dsp:spPr>
        <a:xfrm>
          <a:off x="5112361" y="810367"/>
          <a:ext cx="696567" cy="492286"/>
        </a:xfrm>
        <a:prstGeom prst="rect">
          <a:avLst/>
        </a:prstGeom>
        <a:solidFill>
          <a:schemeClr val="accent4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</dsp:sp>
    <dsp:sp modelId="{FA352C9D-4F36-4B9D-99D0-E8251B1F669A}">
      <dsp:nvSpPr>
        <dsp:cNvPr id="0" name=""/>
        <dsp:cNvSpPr/>
      </dsp:nvSpPr>
      <dsp:spPr>
        <a:xfrm>
          <a:off x="4914021" y="1347175"/>
          <a:ext cx="1146537" cy="1126312"/>
        </a:xfrm>
        <a:prstGeom prst="rect">
          <a:avLst/>
        </a:prstGeom>
        <a:noFill/>
        <a:ln>
          <a:noFill/>
        </a:ln>
        <a:effectLst/>
      </dsp:spPr>
      <dsp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27940" tIns="27940" rIns="27940" bIns="2794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s-ES" sz="1600" kern="1200"/>
            <a:t>Proporción de </a:t>
          </a:r>
          <a:r>
            <a:rPr lang="es-ES" sz="1600" kern="1200">
              <a:solidFill>
                <a:sysClr val="windowText" lastClr="000000">
                  <a:hueOff val="0"/>
                  <a:satOff val="0"/>
                  <a:lumOff val="0"/>
                  <a:alphaOff val="0"/>
                </a:sysClr>
              </a:solidFill>
              <a:latin typeface="Calibri" panose="020F0502020204030204"/>
              <a:ea typeface="+mn-ea"/>
              <a:cs typeface="+mn-cs"/>
            </a:rPr>
            <a:t>pacientes</a:t>
          </a:r>
          <a:endParaRPr lang="es-ES" sz="1600" kern="1200"/>
        </a:p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s-ES" sz="1600" kern="1200"/>
            <a:t>Costos de atención</a:t>
          </a:r>
        </a:p>
      </dsp:txBody>
      <dsp:txXfrm>
        <a:off x="4914021" y="1347175"/>
        <a:ext cx="1146537" cy="1126312"/>
      </dsp:txXfrm>
    </dsp:sp>
    <dsp:sp modelId="{5D02F349-0E1A-4584-ACCC-87C1DBAF58EE}">
      <dsp:nvSpPr>
        <dsp:cNvPr id="0" name=""/>
        <dsp:cNvSpPr/>
      </dsp:nvSpPr>
      <dsp:spPr>
        <a:xfrm>
          <a:off x="4866789" y="1631"/>
          <a:ext cx="1211088" cy="554717"/>
        </a:xfrm>
        <a:prstGeom prst="rect">
          <a:avLst/>
        </a:prstGeom>
        <a:solidFill>
          <a:schemeClr val="accent4"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accent4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40640" tIns="40640" rIns="40640" bIns="4064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s-ES" sz="1600" kern="1200"/>
            <a:t>Categoria bajo riesgo</a:t>
          </a:r>
        </a:p>
      </dsp:txBody>
      <dsp:txXfrm>
        <a:off x="4866789" y="1631"/>
        <a:ext cx="1211088" cy="554717"/>
      </dsp:txXfrm>
    </dsp:sp>
    <dsp:sp modelId="{C594AFB8-9B82-4A7E-9707-8CC14A145B52}">
      <dsp:nvSpPr>
        <dsp:cNvPr id="0" name=""/>
        <dsp:cNvSpPr/>
      </dsp:nvSpPr>
      <dsp:spPr>
        <a:xfrm>
          <a:off x="6804874" y="349524"/>
          <a:ext cx="0" cy="2179959"/>
        </a:xfrm>
        <a:prstGeom prst="line">
          <a:avLst/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accent4">
              <a:hueOff val="4900445"/>
              <a:satOff val="-20388"/>
              <a:lumOff val="4804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CD99D040-9D4A-49B3-9694-B71E283BF117}">
      <dsp:nvSpPr>
        <dsp:cNvPr id="0" name=""/>
        <dsp:cNvSpPr/>
      </dsp:nvSpPr>
      <dsp:spPr>
        <a:xfrm>
          <a:off x="7157463" y="814881"/>
          <a:ext cx="562468" cy="488676"/>
        </a:xfrm>
        <a:prstGeom prst="rect">
          <a:avLst/>
        </a:prstGeom>
        <a:solidFill>
          <a:schemeClr val="accent4">
            <a:hueOff val="4900445"/>
            <a:satOff val="-20388"/>
            <a:lumOff val="4804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</dsp:sp>
    <dsp:sp modelId="{0C04DA24-A297-41F7-BB8E-B3925619E830}">
      <dsp:nvSpPr>
        <dsp:cNvPr id="0" name=""/>
        <dsp:cNvSpPr/>
      </dsp:nvSpPr>
      <dsp:spPr>
        <a:xfrm>
          <a:off x="6865428" y="1403171"/>
          <a:ext cx="1146537" cy="1126312"/>
        </a:xfrm>
        <a:prstGeom prst="rect">
          <a:avLst/>
        </a:prstGeom>
        <a:noFill/>
        <a:ln>
          <a:noFill/>
        </a:ln>
        <a:effectLst/>
      </dsp:spPr>
      <dsp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27940" tIns="27940" rIns="27940" bIns="2794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s-ES" sz="1600" kern="1200"/>
            <a:t>Proporción de pacientes</a:t>
          </a:r>
        </a:p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s-ES" sz="1600" kern="1200">
              <a:solidFill>
                <a:sysClr val="windowText" lastClr="000000">
                  <a:hueOff val="0"/>
                  <a:satOff val="0"/>
                  <a:lumOff val="0"/>
                  <a:alphaOff val="0"/>
                </a:sysClr>
              </a:solidFill>
              <a:latin typeface="Calibri" panose="020F0502020204030204"/>
              <a:ea typeface="+mn-ea"/>
              <a:cs typeface="+mn-cs"/>
            </a:rPr>
            <a:t>Costos de atención</a:t>
          </a:r>
        </a:p>
      </dsp:txBody>
      <dsp:txXfrm>
        <a:off x="6865428" y="1403171"/>
        <a:ext cx="1146537" cy="1126312"/>
      </dsp:txXfrm>
    </dsp:sp>
    <dsp:sp modelId="{DC84582E-76FC-4031-A0C5-EAE054E3A4A2}">
      <dsp:nvSpPr>
        <dsp:cNvPr id="0" name=""/>
        <dsp:cNvSpPr/>
      </dsp:nvSpPr>
      <dsp:spPr>
        <a:xfrm>
          <a:off x="6818196" y="-11687"/>
          <a:ext cx="1211088" cy="666709"/>
        </a:xfrm>
        <a:prstGeom prst="rect">
          <a:avLst/>
        </a:prstGeom>
        <a:solidFill>
          <a:schemeClr val="accent4">
            <a:hueOff val="4900445"/>
            <a:satOff val="-20388"/>
            <a:lumOff val="4804"/>
            <a:alphaOff val="0"/>
          </a:schemeClr>
        </a:solidFill>
        <a:ln w="12700" cap="flat" cmpd="sng" algn="ctr">
          <a:solidFill>
            <a:schemeClr val="accent4">
              <a:hueOff val="4900445"/>
              <a:satOff val="-20388"/>
              <a:lumOff val="4804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40640" tIns="40640" rIns="40640" bIns="4064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s-ES" sz="1600" kern="1200"/>
            <a:t>Categoria intermedio riesgo</a:t>
          </a:r>
        </a:p>
      </dsp:txBody>
      <dsp:txXfrm>
        <a:off x="6818196" y="-11687"/>
        <a:ext cx="1211088" cy="666709"/>
      </dsp:txXfrm>
    </dsp:sp>
    <dsp:sp modelId="{3EB28CCA-79A9-44AC-95CA-E76DA5DA2CC9}">
      <dsp:nvSpPr>
        <dsp:cNvPr id="0" name=""/>
        <dsp:cNvSpPr/>
      </dsp:nvSpPr>
      <dsp:spPr>
        <a:xfrm>
          <a:off x="8756280" y="306398"/>
          <a:ext cx="0" cy="2179959"/>
        </a:xfrm>
        <a:prstGeom prst="line">
          <a:avLst/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2700" cap="flat" cmpd="sng" algn="ctr">
          <a:solidFill>
            <a:schemeClr val="accent4">
              <a:hueOff val="9800891"/>
              <a:satOff val="-40777"/>
              <a:lumOff val="9608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A991976D-98C1-4E04-A9D2-E8570E23B04A}">
      <dsp:nvSpPr>
        <dsp:cNvPr id="0" name=""/>
        <dsp:cNvSpPr/>
      </dsp:nvSpPr>
      <dsp:spPr>
        <a:xfrm>
          <a:off x="9069801" y="781918"/>
          <a:ext cx="640604" cy="574924"/>
        </a:xfrm>
        <a:prstGeom prst="rect">
          <a:avLst/>
        </a:prstGeom>
        <a:solidFill>
          <a:schemeClr val="accent4">
            <a:hueOff val="9800891"/>
            <a:satOff val="-40777"/>
            <a:lumOff val="9608"/>
            <a:alphaOff val="0"/>
          </a:schemeClr>
        </a:solidFill>
        <a:ln w="1270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</dsp:sp>
    <dsp:sp modelId="{B0E547B3-7190-4B7D-87E5-6AD393FF7602}">
      <dsp:nvSpPr>
        <dsp:cNvPr id="0" name=""/>
        <dsp:cNvSpPr/>
      </dsp:nvSpPr>
      <dsp:spPr>
        <a:xfrm>
          <a:off x="8803512" y="1488665"/>
          <a:ext cx="1146537" cy="658791"/>
        </a:xfrm>
        <a:prstGeom prst="rect">
          <a:avLst/>
        </a:prstGeom>
        <a:noFill/>
        <a:ln>
          <a:noFill/>
        </a:ln>
        <a:effectLst/>
      </dsp:spPr>
      <dsp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40640" tIns="40640" rIns="40640" bIns="40640" numCol="1" spcCol="1270" anchor="t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s-ES" sz="1600" kern="1200"/>
            <a:t>Proporción de pacientes</a:t>
          </a:r>
        </a:p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s-ES" sz="1600" kern="1200"/>
            <a:t>Costos de atención</a:t>
          </a:r>
        </a:p>
      </dsp:txBody>
      <dsp:txXfrm>
        <a:off x="8803512" y="1488665"/>
        <a:ext cx="1146537" cy="658791"/>
      </dsp:txXfrm>
    </dsp:sp>
    <dsp:sp modelId="{4CAE5681-E563-4CC3-9D74-025977D8F863}">
      <dsp:nvSpPr>
        <dsp:cNvPr id="0" name=""/>
        <dsp:cNvSpPr/>
      </dsp:nvSpPr>
      <dsp:spPr>
        <a:xfrm>
          <a:off x="8756280" y="1634"/>
          <a:ext cx="1211088" cy="580457"/>
        </a:xfrm>
        <a:prstGeom prst="rect">
          <a:avLst/>
        </a:prstGeom>
        <a:solidFill>
          <a:schemeClr val="accent4">
            <a:hueOff val="9800891"/>
            <a:satOff val="-40777"/>
            <a:lumOff val="9608"/>
            <a:alphaOff val="0"/>
          </a:schemeClr>
        </a:solidFill>
        <a:ln w="12700" cap="flat" cmpd="sng" algn="ctr">
          <a:solidFill>
            <a:schemeClr val="accent4">
              <a:hueOff val="9800891"/>
              <a:satOff val="-40777"/>
              <a:lumOff val="9608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40640" tIns="40640" rIns="40640" bIns="40640" numCol="1" spcCol="1270" anchor="ctr" anchorCtr="0">
          <a:noAutofit/>
        </a:bodyPr>
        <a:lstStyle/>
        <a:p>
          <a:pPr marL="0" lvl="0" indent="0" algn="ctr" defTabSz="71120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s-ES" sz="1600" kern="1200"/>
            <a:t>Categoria alto riesgo</a:t>
          </a:r>
        </a:p>
      </dsp:txBody>
      <dsp:txXfrm>
        <a:off x="8756280" y="1634"/>
        <a:ext cx="1211088" cy="580457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8/layout/TitlePictureLineup">
  <dgm:title val=""/>
  <dgm:desc val=""/>
  <dgm:catLst>
    <dgm:cat type="picture" pri="18000"/>
    <dgm:cat type="pictureconvert" pri="18000"/>
  </dgm:catLst>
  <dgm:sampData>
    <dgm:dataModel>
      <dgm:ptLst>
        <dgm:pt modelId="0" type="doc"/>
        <dgm:pt modelId="10">
          <dgm:prSet phldr="1"/>
        </dgm:pt>
        <dgm:pt modelId="11">
          <dgm:prSet phldr="1"/>
        </dgm:pt>
        <dgm:pt modelId="20">
          <dgm:prSet phldr="1"/>
        </dgm:pt>
        <dgm:pt modelId="21">
          <dgm:prSet phldr="1"/>
        </dgm:pt>
        <dgm:pt modelId="30">
          <dgm:prSet phldr="1"/>
        </dgm:pt>
        <dgm:pt modelId="31">
          <dgm:prSet phldr="1"/>
        </dgm:pt>
      </dgm:ptLst>
      <dgm:cxnLst>
        <dgm:cxn modelId="40" srcId="0" destId="10" srcOrd="0" destOrd="0"/>
        <dgm:cxn modelId="12" srcId="10" destId="11" srcOrd="0" destOrd="0"/>
        <dgm:cxn modelId="50" srcId="0" destId="20" srcOrd="1" destOrd="0"/>
        <dgm:cxn modelId="22" srcId="20" destId="21" srcOrd="0" destOrd="0"/>
        <dgm:cxn modelId="60" srcId="0" destId="30" srcOrd="1" destOrd="0"/>
        <dgm:cxn modelId="32" srcId="30" destId="31" srcOrd="0" destOrd="0"/>
      </dgm:cxnLst>
      <dgm:bg/>
      <dgm:whole/>
    </dgm:dataModel>
  </dgm:sampData>
  <dgm:styleData>
    <dgm:dataModel>
      <dgm:ptLst>
        <dgm:pt modelId="0" type="doc"/>
        <dgm:pt modelId="10">
          <dgm:prSet phldr="1"/>
        </dgm:pt>
        <dgm:pt modelId="20">
          <dgm:prSet phldr="1"/>
        </dgm:pt>
      </dgm:ptLst>
      <dgm:cxnLst>
        <dgm:cxn modelId="40" srcId="0" destId="10" srcOrd="0" destOrd="0"/>
        <dgm:cxn modelId="50" srcId="0" destId="20" srcOrd="1" destOrd="0"/>
      </dgm:cxnLst>
      <dgm:bg/>
      <dgm:whole/>
    </dgm:dataModel>
  </dgm:styleData>
  <dgm:clrData>
    <dgm:dataModel>
      <dgm:ptLst>
        <dgm:pt modelId="0" type="doc"/>
        <dgm:pt modelId="10">
          <dgm:prSet phldr="1"/>
        </dgm:pt>
        <dgm:pt modelId="20">
          <dgm:prSet phldr="1"/>
        </dgm:pt>
        <dgm:pt modelId="30">
          <dgm:prSet phldr="1"/>
        </dgm:pt>
        <dgm:pt modelId="40">
          <dgm:prSet phldr="1"/>
        </dgm:pt>
      </dgm:ptLst>
      <dgm:cxnLst>
        <dgm:cxn modelId="50" srcId="0" destId="10" srcOrd="0" destOrd="0"/>
        <dgm:cxn modelId="60" srcId="0" destId="20" srcOrd="1" destOrd="0"/>
        <dgm:cxn modelId="70" srcId="0" destId="30" srcOrd="2" destOrd="0"/>
        <dgm:cxn modelId="80" srcId="0" destId="40" srcOrd="3" destOrd="0"/>
      </dgm:cxnLst>
      <dgm:bg/>
      <dgm:whole/>
    </dgm:dataModel>
  </dgm:clrData>
  <dgm:layoutNode name="Name0">
    <dgm:varLst>
      <dgm:dir/>
    </dgm:varLst>
    <dgm:choose name="Name1">
      <dgm:if name="Name2" func="var" arg="dir" op="equ" val="norm">
        <dgm:alg type="lin">
          <dgm:param type="linDir" val="fromL"/>
          <dgm:param type="fallback" val="1D"/>
          <dgm:param type="horzAlign" val="ctr"/>
          <dgm:param type="vertAlign" val="mid"/>
          <dgm:param type="nodeVertAlign" val="t"/>
        </dgm:alg>
      </dgm:if>
      <dgm:else name="Name3">
        <dgm:alg type="lin">
          <dgm:param type="linDir" val="fromR"/>
          <dgm:param type="fallback" val="1D"/>
          <dgm:param type="horzAlign" val="ctr"/>
          <dgm:param type="vertAlign" val="mid"/>
          <dgm:param type="nodeVertAlign" val="t"/>
        </dgm:alg>
      </dgm:else>
    </dgm:choose>
    <dgm:shape xmlns:r="http://schemas.openxmlformats.org/officeDocument/2006/relationships" r:blip="">
      <dgm:adjLst/>
    </dgm:shape>
    <dgm:constrLst>
      <dgm:constr type="h" for="des" forName="Child" op="equ"/>
      <dgm:constr type="w" for="des" forName="Child" op="equ"/>
      <dgm:constr type="h" for="des" forName="Accent" op="equ"/>
      <dgm:constr type="w" for="des" forName="Accent" op="equ"/>
      <dgm:constr type="primFontSz" for="des" forName="Parent" op="equ"/>
      <dgm:constr type="primFontSz" for="des" forName="Child" op="equ"/>
      <dgm:constr type="w" for="ch" forName="composite" refType="w"/>
      <dgm:constr type="h" for="ch" forName="composite" refType="h"/>
      <dgm:constr type="sp" refType="w" refFor="ch" refForName="composite" op="equ" fact="0.1"/>
      <dgm:constr type="w" for="ch" forName="sibTrans" refType="w" refFor="ch" refForName="composite" op="equ" fact="0.05"/>
      <dgm:constr type="h" for="ch" forName="sibTrans" refType="w" refFor="ch" refForName="sibTrans" op="equ"/>
    </dgm:constrLst>
    <dgm:forEach name="nodesForEach" axis="ch" ptType="node">
      <dgm:layoutNode name="composite">
        <dgm:alg type="composite">
          <dgm:param type="ar" val="0.5"/>
        </dgm:alg>
        <dgm:shape xmlns:r="http://schemas.openxmlformats.org/officeDocument/2006/relationships" r:blip="">
          <dgm:adjLst/>
        </dgm:shape>
        <dgm:choose name="Name4">
          <dgm:if name="Name5" func="var" arg="dir" op="equ" val="norm">
            <dgm:constrLst>
              <dgm:constr type="l" for="ch" forName="Parent" refType="w" fact="0"/>
              <dgm:constr type="t" for="ch" forName="Parent" refType="h" fact="0"/>
              <dgm:constr type="w" for="ch" forName="Parent" refType="w"/>
              <dgm:constr type="h" for="ch" forName="Parent" refType="h" fact="0.1"/>
              <dgm:constr type="l" for="ch" forName="Accent" refType="w" fact="0"/>
              <dgm:constr type="b" for="ch" forName="Accent" refType="h"/>
              <dgm:constr type="w" for="ch" forName="Accent" refType="w" fact="0"/>
              <dgm:constr type="h" for="ch" forName="Accent" refType="h" fact="0.9"/>
              <dgm:constr type="l" for="ch" forName="Image" refType="w" fact="0.05"/>
              <dgm:constr type="t" for="ch" forName="Image" refType="h" fact="0.13"/>
              <dgm:constr type="w" for="ch" forName="Image" refType="w" fact="0.9467"/>
              <dgm:constr type="h" for="ch" forName="Image" refType="h" fact="0.405"/>
              <dgm:constr type="l" for="ch" forName="Child" refType="w" fact="0.05"/>
              <dgm:constr type="t" for="ch" forName="Child" refType="h" fact="0.535"/>
              <dgm:constr type="w" for="ch" forName="Child" refType="w" fact="0.9467"/>
              <dgm:constr type="h" for="ch" forName="Child" refType="h" fact="0.465"/>
            </dgm:constrLst>
          </dgm:if>
          <dgm:else name="Name6">
            <dgm:constrLst>
              <dgm:constr type="l" for="ch" forName="Parent" refType="w" fact="0"/>
              <dgm:constr type="t" for="ch" forName="Parent" refType="h" fact="0"/>
              <dgm:constr type="w" for="ch" forName="Parent" refType="w"/>
              <dgm:constr type="h" for="ch" forName="Parent" refType="h" fact="0.1"/>
              <dgm:constr type="l" for="ch" forName="Accent" refType="w"/>
              <dgm:constr type="b" for="ch" forName="Accent" refType="h"/>
              <dgm:constr type="h" for="ch" forName="Accent" refType="h" fact="0.9"/>
              <dgm:constr type="l" for="ch" forName="Image" refType="w" fact="0"/>
              <dgm:constr type="t" for="ch" forName="Image" refType="h" fact="0.13"/>
              <dgm:constr type="w" for="ch" forName="Image" refType="w" fact="0.9467"/>
              <dgm:constr type="h" for="ch" forName="Image" refType="h" fact="0.405"/>
              <dgm:constr type="l" for="ch" forName="Child" refType="w" fact="0"/>
              <dgm:constr type="t" for="ch" forName="Child" refType="h" fact="0.535"/>
              <dgm:constr type="w" for="ch" forName="Child" refType="w" fact="0.9467"/>
              <dgm:constr type="h" for="ch" forName="Child" refType="h" fact="0.465"/>
            </dgm:constrLst>
          </dgm:else>
        </dgm:choose>
        <dgm:forEach name="Name7" axis="self" ptType="node">
          <dgm:layoutNode name="Accent" styleLbl="alignAcc1">
            <dgm:alg type="sp"/>
            <dgm:shape xmlns:r="http://schemas.openxmlformats.org/officeDocument/2006/relationships" type="line" r:blip="">
              <dgm:adjLst/>
            </dgm:shape>
            <dgm:presOf/>
          </dgm:layoutNode>
          <dgm:layoutNode name="Image">
            <dgm:alg type="sp"/>
            <dgm:shape xmlns:r="http://schemas.openxmlformats.org/officeDocument/2006/relationships" type="rect" r:blip="" blipPhldr="1">
              <dgm:adjLst/>
            </dgm:shape>
            <dgm:presOf/>
          </dgm:layoutNode>
          <dgm:layoutNode name="Child" styleLbl="revTx">
            <dgm:varLst>
              <dgm:bulletEnabled val="1"/>
            </dgm:varLst>
            <dgm:choose name="Name8">
              <dgm:if name="Name9" axis="ch" ptType="node" func="cnt" op="gt" val="1">
                <dgm:choose name="Name10">
                  <dgm:if name="Name11" func="var" arg="dir" op="equ" val="norm">
                    <dgm:alg type="tx">
                      <dgm:param type="shpTxLTRAlignCh" val="l"/>
                      <dgm:param type="shpTxRTLAlignCh" val="r"/>
                      <dgm:param type="txAnchorVert" val="t"/>
                      <dgm:param type="stBulletLvl" val="1"/>
                    </dgm:alg>
                  </dgm:if>
                  <dgm:else name="Name12">
                    <dgm:alg type="tx">
                      <dgm:param type="shpTxLTRAlignCh" val="l"/>
                      <dgm:param type="shpTxRTLAlignCh" val="r"/>
                      <dgm:param type="txAnchorVert" val="t"/>
                      <dgm:param type="stBulletLvl" val="1"/>
                    </dgm:alg>
                  </dgm:else>
                </dgm:choose>
              </dgm:if>
              <dgm:else name="Name13">
                <dgm:choose name="Name14">
                  <dgm:if name="Name15" func="var" arg="dir" op="equ" val="norm">
                    <dgm:alg type="tx">
                      <dgm:param type="shpTxLTRAlignCh" val="l"/>
                      <dgm:param type="shpTxRTLAlignCh" val="r"/>
                      <dgm:param type="txAnchorVert" val="t"/>
                      <dgm:param type="stBulletLvl" val="2"/>
                    </dgm:alg>
                  </dgm:if>
                  <dgm:else name="Name16">
                    <dgm:alg type="tx">
                      <dgm:param type="shpTxLTRAlignCh" val="l"/>
                      <dgm:param type="shpTxRTLAlignCh" val="r"/>
                      <dgm:param type="txAnchorVert" val="t"/>
                      <dgm:param type="stBulletLvl" val="2"/>
                    </dgm:alg>
                  </dgm:else>
                </dgm:choose>
              </dgm:else>
            </dgm:choose>
            <dgm:shape xmlns:r="http://schemas.openxmlformats.org/officeDocument/2006/relationships" type="rect" r:blip="">
              <dgm:adjLst/>
            </dgm:shape>
            <dgm:presOf axis="des" ptType="node"/>
            <dgm:constrLst>
              <dgm:constr type="lMarg" refType="primFontSz" fact="0.2"/>
              <dgm:constr type="rMarg" refType="primFontSz" fact="0.2"/>
              <dgm:constr type="tMarg" refType="primFontSz" fact="0.2"/>
              <dgm:constr type="bMarg" refType="primFontSz" fact="0.2"/>
            </dgm:constrLst>
            <dgm:ruleLst>
              <dgm:rule type="primFontSz" val="5" fact="NaN" max="NaN"/>
            </dgm:ruleLst>
          </dgm:layoutNode>
          <dgm:layoutNode name="Parent" styleLbl="alignNode1">
            <dgm:varLst>
              <dgm:bulletEnabled val="1"/>
            </dgm:varLst>
            <dgm:alg type="tx">
              <dgm:param type="shpTxLTRAlignCh" val="ctr"/>
              <dgm:param type="txAnchorVertCh" val="mid"/>
            </dgm:alg>
            <dgm:shape xmlns:r="http://schemas.openxmlformats.org/officeDocument/2006/relationships" type="rect" r:blip="">
              <dgm:adjLst/>
            </dgm:shape>
            <dgm:presOf axis="self"/>
            <dgm:constrLst>
              <dgm:constr type="lMarg" refType="primFontSz" fact="0.2"/>
              <dgm:constr type="rMarg" refType="primFontSz" fact="0.2"/>
              <dgm:constr type="tMarg" refType="primFontSz" fact="0.2"/>
              <dgm:constr type="bMarg" refType="primFontSz" fact="0.2"/>
            </dgm:constrLst>
            <dgm:ruleLst>
              <dgm:rule type="primFontSz" val="5" fact="NaN" max="NaN"/>
            </dgm:ruleLst>
          </dgm:layoutNode>
        </dgm:forEach>
      </dgm:layoutNode>
      <dgm:forEach name="sibTransForEach" axis="followSib" ptType="sibTrans" cnt="1">
        <dgm:layoutNode name="sibTrans">
          <dgm:alg type="sp"/>
          <dgm:shape xmlns:r="http://schemas.openxmlformats.org/officeDocument/2006/relationships" r:blip="">
            <dgm:adjLst/>
          </dgm:shape>
        </dgm:layoutNode>
      </dgm:forEach>
    </dgm:forEach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image" Target="../media/image26.png"/><Relationship Id="rId4" Type="http://schemas.openxmlformats.org/officeDocument/2006/relationships/chart" Target="../charts/chart5.xml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7.png"/><Relationship Id="rId3" Type="http://schemas.openxmlformats.org/officeDocument/2006/relationships/diagramQuickStyle" Target="../diagrams/quickStyle1.xml"/><Relationship Id="rId7" Type="http://schemas.openxmlformats.org/officeDocument/2006/relationships/image" Target="../media/image12.png"/><Relationship Id="rId12" Type="http://schemas.openxmlformats.org/officeDocument/2006/relationships/image" Target="../media/image16.png"/><Relationship Id="rId2" Type="http://schemas.openxmlformats.org/officeDocument/2006/relationships/diagramLayout" Target="../diagrams/layout1.xml"/><Relationship Id="rId1" Type="http://schemas.openxmlformats.org/officeDocument/2006/relationships/diagramData" Target="../diagrams/data1.xml"/><Relationship Id="rId6" Type="http://schemas.openxmlformats.org/officeDocument/2006/relationships/image" Target="../media/image11.png"/><Relationship Id="rId11" Type="http://schemas.openxmlformats.org/officeDocument/2006/relationships/image" Target="../media/image15.png"/><Relationship Id="rId5" Type="http://schemas.microsoft.com/office/2007/relationships/diagramDrawing" Target="../diagrams/drawing1.xml"/><Relationship Id="rId15" Type="http://schemas.openxmlformats.org/officeDocument/2006/relationships/image" Target="../media/image19.png"/><Relationship Id="rId10" Type="http://schemas.openxmlformats.org/officeDocument/2006/relationships/image" Target="../media/image14.png"/><Relationship Id="rId4" Type="http://schemas.openxmlformats.org/officeDocument/2006/relationships/diagramColors" Target="../diagrams/colors1.xml"/><Relationship Id="rId9" Type="http://schemas.openxmlformats.org/officeDocument/2006/relationships/hyperlink" Target="#Portada!A1"/><Relationship Id="rId1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chart" Target="../charts/chart1.xml"/><Relationship Id="rId1" Type="http://schemas.openxmlformats.org/officeDocument/2006/relationships/image" Target="../media/image2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png"/><Relationship Id="rId1" Type="http://schemas.openxmlformats.org/officeDocument/2006/relationships/image" Target="../media/image24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768351</xdr:colOff>
      <xdr:row>1</xdr:row>
      <xdr:rowOff>82550</xdr:rowOff>
    </xdr:from>
    <xdr:to>
      <xdr:col>17</xdr:col>
      <xdr:colOff>254000</xdr:colOff>
      <xdr:row>8</xdr:row>
      <xdr:rowOff>2206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7C8D37-0E27-BD48-995D-8C149ADF6A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8351" y="260350"/>
          <a:ext cx="14166849" cy="1164256"/>
        </a:xfrm>
        <a:prstGeom prst="rect">
          <a:avLst/>
        </a:prstGeom>
      </xdr:spPr>
    </xdr:pic>
    <xdr:clientData/>
  </xdr:twoCellAnchor>
  <xdr:twoCellAnchor editAs="oneCell">
    <xdr:from>
      <xdr:col>0</xdr:col>
      <xdr:colOff>473559</xdr:colOff>
      <xdr:row>13</xdr:row>
      <xdr:rowOff>43051</xdr:rowOff>
    </xdr:from>
    <xdr:to>
      <xdr:col>0</xdr:col>
      <xdr:colOff>751999</xdr:colOff>
      <xdr:row>13</xdr:row>
      <xdr:rowOff>312905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9BE75206-DAE2-D44D-9FA3-596D972096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3559" y="2690678"/>
          <a:ext cx="278440" cy="269854"/>
        </a:xfrm>
        <a:prstGeom prst="rect">
          <a:avLst/>
        </a:prstGeom>
      </xdr:spPr>
    </xdr:pic>
    <xdr:clientData/>
  </xdr:twoCellAnchor>
  <xdr:twoCellAnchor editAs="oneCell">
    <xdr:from>
      <xdr:col>0</xdr:col>
      <xdr:colOff>141150</xdr:colOff>
      <xdr:row>37</xdr:row>
      <xdr:rowOff>37873</xdr:rowOff>
    </xdr:from>
    <xdr:to>
      <xdr:col>9</xdr:col>
      <xdr:colOff>342900</xdr:colOff>
      <xdr:row>39</xdr:row>
      <xdr:rowOff>111421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4BF8823-ED7B-2044-BE02-5D6EE5E93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1150" y="9258073"/>
          <a:ext cx="8202750" cy="683148"/>
        </a:xfrm>
        <a:prstGeom prst="rect">
          <a:avLst/>
        </a:prstGeom>
      </xdr:spPr>
    </xdr:pic>
    <xdr:clientData/>
  </xdr:twoCellAnchor>
  <xdr:twoCellAnchor editAs="oneCell">
    <xdr:from>
      <xdr:col>0</xdr:col>
      <xdr:colOff>458961</xdr:colOff>
      <xdr:row>15</xdr:row>
      <xdr:rowOff>63092</xdr:rowOff>
    </xdr:from>
    <xdr:to>
      <xdr:col>0</xdr:col>
      <xdr:colOff>737401</xdr:colOff>
      <xdr:row>16</xdr:row>
      <xdr:rowOff>11796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E1C3D0F1-A648-7D4B-A3ED-67AA6D211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8961" y="3230793"/>
          <a:ext cx="278440" cy="269854"/>
        </a:xfrm>
        <a:prstGeom prst="rect">
          <a:avLst/>
        </a:prstGeom>
      </xdr:spPr>
    </xdr:pic>
    <xdr:clientData/>
  </xdr:twoCellAnchor>
  <xdr:twoCellAnchor editAs="oneCell">
    <xdr:from>
      <xdr:col>0</xdr:col>
      <xdr:colOff>421591</xdr:colOff>
      <xdr:row>18</xdr:row>
      <xdr:rowOff>54918</xdr:rowOff>
    </xdr:from>
    <xdr:to>
      <xdr:col>0</xdr:col>
      <xdr:colOff>700031</xdr:colOff>
      <xdr:row>19</xdr:row>
      <xdr:rowOff>3622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460AE325-0E4C-C345-8140-4EE90DF5B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1591" y="4186067"/>
          <a:ext cx="278440" cy="269854"/>
        </a:xfrm>
        <a:prstGeom prst="rect">
          <a:avLst/>
        </a:prstGeom>
      </xdr:spPr>
    </xdr:pic>
    <xdr:clientData/>
  </xdr:twoCellAnchor>
  <xdr:twoCellAnchor editAs="oneCell">
    <xdr:from>
      <xdr:col>0</xdr:col>
      <xdr:colOff>501002</xdr:colOff>
      <xdr:row>26</xdr:row>
      <xdr:rowOff>17547</xdr:rowOff>
    </xdr:from>
    <xdr:to>
      <xdr:col>0</xdr:col>
      <xdr:colOff>779442</xdr:colOff>
      <xdr:row>26</xdr:row>
      <xdr:rowOff>287401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E8B2981B-A288-CE45-A99F-8C13F18987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1002" y="6425938"/>
          <a:ext cx="278440" cy="269854"/>
        </a:xfrm>
        <a:prstGeom prst="rect">
          <a:avLst/>
        </a:prstGeom>
      </xdr:spPr>
    </xdr:pic>
    <xdr:clientData/>
  </xdr:twoCellAnchor>
  <xdr:twoCellAnchor editAs="oneCell">
    <xdr:from>
      <xdr:col>0</xdr:col>
      <xdr:colOff>507425</xdr:colOff>
      <xdr:row>30</xdr:row>
      <xdr:rowOff>38568</xdr:rowOff>
    </xdr:from>
    <xdr:to>
      <xdr:col>0</xdr:col>
      <xdr:colOff>785865</xdr:colOff>
      <xdr:row>30</xdr:row>
      <xdr:rowOff>308422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6AB33B85-5D27-0340-B3B9-C58A04091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7425" y="7585579"/>
          <a:ext cx="278440" cy="269854"/>
        </a:xfrm>
        <a:prstGeom prst="rect">
          <a:avLst/>
        </a:prstGeom>
      </xdr:spPr>
    </xdr:pic>
    <xdr:clientData/>
  </xdr:twoCellAnchor>
  <xdr:twoCellAnchor editAs="oneCell">
    <xdr:from>
      <xdr:col>0</xdr:col>
      <xdr:colOff>499250</xdr:colOff>
      <xdr:row>32</xdr:row>
      <xdr:rowOff>30393</xdr:rowOff>
    </xdr:from>
    <xdr:to>
      <xdr:col>0</xdr:col>
      <xdr:colOff>777690</xdr:colOff>
      <xdr:row>32</xdr:row>
      <xdr:rowOff>300247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769207ED-09A3-DC40-A7D1-D41214345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9250" y="8073726"/>
          <a:ext cx="278440" cy="26985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358775</xdr:colOff>
      <xdr:row>2</xdr:row>
      <xdr:rowOff>85725</xdr:rowOff>
    </xdr:from>
    <xdr:to>
      <xdr:col>10</xdr:col>
      <xdr:colOff>825500</xdr:colOff>
      <xdr:row>40</xdr:row>
      <xdr:rowOff>68993</xdr:rowOff>
    </xdr:to>
    <xdr:pic>
      <xdr:nvPicPr>
        <xdr:cNvPr id="2" name="2 Imagen">
          <a:extLst>
            <a:ext uri="{FF2B5EF4-FFF2-40B4-BE49-F238E27FC236}">
              <a16:creationId xmlns:a16="http://schemas.microsoft.com/office/drawing/2014/main" id="{C3F0B03C-78BE-46ED-9DC6-604EEC86EE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6975" y="447675"/>
          <a:ext cx="8010525" cy="6860318"/>
        </a:xfrm>
        <a:prstGeom prst="rect">
          <a:avLst/>
        </a:prstGeom>
      </xdr:spPr>
    </xdr:pic>
    <xdr:clientData/>
  </xdr:twoCellAnchor>
  <xdr:twoCellAnchor>
    <xdr:from>
      <xdr:col>4</xdr:col>
      <xdr:colOff>38100</xdr:colOff>
      <xdr:row>23</xdr:row>
      <xdr:rowOff>28575</xdr:rowOff>
    </xdr:from>
    <xdr:to>
      <xdr:col>5</xdr:col>
      <xdr:colOff>371475</xdr:colOff>
      <xdr:row>29</xdr:row>
      <xdr:rowOff>133350</xdr:rowOff>
    </xdr:to>
    <xdr:cxnSp macro="">
      <xdr:nvCxnSpPr>
        <xdr:cNvPr id="5" name="Conector recto 4">
          <a:extLst>
            <a:ext uri="{FF2B5EF4-FFF2-40B4-BE49-F238E27FC236}">
              <a16:creationId xmlns:a16="http://schemas.microsoft.com/office/drawing/2014/main" id="{A3002BEA-71F3-46FF-AFAE-8BE082C82171}"/>
            </a:ext>
          </a:extLst>
        </xdr:cNvPr>
        <xdr:cNvCxnSpPr/>
      </xdr:nvCxnSpPr>
      <xdr:spPr>
        <a:xfrm>
          <a:off x="3390900" y="4187825"/>
          <a:ext cx="1168400" cy="1193800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3</xdr:col>
      <xdr:colOff>628649</xdr:colOff>
      <xdr:row>25</xdr:row>
      <xdr:rowOff>38100</xdr:rowOff>
    </xdr:from>
    <xdr:to>
      <xdr:col>4</xdr:col>
      <xdr:colOff>514349</xdr:colOff>
      <xdr:row>29</xdr:row>
      <xdr:rowOff>123825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F6B49F2D-76BF-47ED-A85D-31CC3249A282}"/>
            </a:ext>
          </a:extLst>
        </xdr:cNvPr>
        <xdr:cNvSpPr txBox="1"/>
      </xdr:nvSpPr>
      <xdr:spPr>
        <a:xfrm rot="2634526">
          <a:off x="3143249" y="4562475"/>
          <a:ext cx="723900" cy="80645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>
              <a:solidFill>
                <a:srgbClr val="FF0000"/>
              </a:solidFill>
            </a:rPr>
            <a:t>TRITON</a:t>
          </a:r>
        </a:p>
      </xdr:txBody>
    </xdr:sp>
    <xdr:clientData/>
  </xdr:twoCellAnchor>
  <xdr:twoCellAnchor>
    <xdr:from>
      <xdr:col>4</xdr:col>
      <xdr:colOff>469073</xdr:colOff>
      <xdr:row>9</xdr:row>
      <xdr:rowOff>58894</xdr:rowOff>
    </xdr:from>
    <xdr:to>
      <xdr:col>4</xdr:col>
      <xdr:colOff>687661</xdr:colOff>
      <xdr:row>13</xdr:row>
      <xdr:rowOff>58894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670B0E3F-949B-45FD-AC72-DC34820E9AD8}"/>
            </a:ext>
          </a:extLst>
        </xdr:cNvPr>
        <xdr:cNvSpPr txBox="1"/>
      </xdr:nvSpPr>
      <xdr:spPr>
        <a:xfrm rot="18654451">
          <a:off x="3569217" y="1940325"/>
          <a:ext cx="723900" cy="218588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>
              <a:solidFill>
                <a:srgbClr val="FF0000"/>
              </a:solidFill>
            </a:rPr>
            <a:t>TRITON</a:t>
          </a:r>
        </a:p>
      </xdr:txBody>
    </xdr:sp>
    <xdr:clientData/>
  </xdr:twoCellAnchor>
  <xdr:twoCellAnchor>
    <xdr:from>
      <xdr:col>4</xdr:col>
      <xdr:colOff>582521</xdr:colOff>
      <xdr:row>22</xdr:row>
      <xdr:rowOff>133590</xdr:rowOff>
    </xdr:from>
    <xdr:to>
      <xdr:col>4</xdr:col>
      <xdr:colOff>816803</xdr:colOff>
      <xdr:row>27</xdr:row>
      <xdr:rowOff>153079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F8D86605-8036-4FB9-9BB3-005F19BD3713}"/>
            </a:ext>
          </a:extLst>
        </xdr:cNvPr>
        <xdr:cNvSpPr txBox="1"/>
      </xdr:nvSpPr>
      <xdr:spPr>
        <a:xfrm rot="2988625">
          <a:off x="3590280" y="4460081"/>
          <a:ext cx="924364" cy="234282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ES" sz="1100">
              <a:solidFill>
                <a:srgbClr val="00B0F0"/>
              </a:solidFill>
            </a:rPr>
            <a:t>GRIPHON</a:t>
          </a:r>
        </a:p>
      </xdr:txBody>
    </xdr:sp>
    <xdr:clientData/>
  </xdr:twoCellAnchor>
  <xdr:twoCellAnchor>
    <xdr:from>
      <xdr:col>7</xdr:col>
      <xdr:colOff>228600</xdr:colOff>
      <xdr:row>20</xdr:row>
      <xdr:rowOff>28575</xdr:rowOff>
    </xdr:from>
    <xdr:to>
      <xdr:col>8</xdr:col>
      <xdr:colOff>19050</xdr:colOff>
      <xdr:row>24</xdr:row>
      <xdr:rowOff>57150</xdr:rowOff>
    </xdr:to>
    <xdr:cxnSp macro="">
      <xdr:nvCxnSpPr>
        <xdr:cNvPr id="10" name="Conector recto 9">
          <a:extLst>
            <a:ext uri="{FF2B5EF4-FFF2-40B4-BE49-F238E27FC236}">
              <a16:creationId xmlns:a16="http://schemas.microsoft.com/office/drawing/2014/main" id="{23B44398-8891-42C8-89B2-E61B66B4CD6C}"/>
            </a:ext>
          </a:extLst>
        </xdr:cNvPr>
        <xdr:cNvCxnSpPr/>
      </xdr:nvCxnSpPr>
      <xdr:spPr>
        <a:xfrm flipH="1">
          <a:off x="6096000" y="3644900"/>
          <a:ext cx="628650" cy="755650"/>
        </a:xfrm>
        <a:prstGeom prst="line">
          <a:avLst/>
        </a:prstGeom>
      </xdr:spPr>
      <xdr:style>
        <a:lnRef idx="1">
          <a:schemeClr val="accent5"/>
        </a:lnRef>
        <a:fillRef idx="0">
          <a:schemeClr val="accent5"/>
        </a:fillRef>
        <a:effectRef idx="0">
          <a:schemeClr val="accent5"/>
        </a:effectRef>
        <a:fontRef idx="minor">
          <a:schemeClr val="tx1"/>
        </a:fontRef>
      </xdr:style>
    </xdr:cxnSp>
    <xdr:clientData/>
  </xdr:twoCellAnchor>
  <xdr:twoCellAnchor>
    <xdr:from>
      <xdr:col>7</xdr:col>
      <xdr:colOff>523784</xdr:colOff>
      <xdr:row>20</xdr:row>
      <xdr:rowOff>58978</xdr:rowOff>
    </xdr:from>
    <xdr:to>
      <xdr:col>7</xdr:col>
      <xdr:colOff>754891</xdr:colOff>
      <xdr:row>25</xdr:row>
      <xdr:rowOff>91167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D569E0A2-86F8-41F3-BC41-60612AF5AB97}"/>
            </a:ext>
          </a:extLst>
        </xdr:cNvPr>
        <xdr:cNvSpPr txBox="1"/>
      </xdr:nvSpPr>
      <xdr:spPr>
        <a:xfrm rot="18452321">
          <a:off x="6039793" y="4033044"/>
          <a:ext cx="933889" cy="22475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>
              <a:solidFill>
                <a:srgbClr val="00B0F0"/>
              </a:solidFill>
            </a:rPr>
            <a:t>REPLACE</a:t>
          </a:r>
        </a:p>
      </xdr:txBody>
    </xdr:sp>
    <xdr:clientData/>
  </xdr:twoCellAnchor>
  <xdr:twoCellAnchor>
    <xdr:from>
      <xdr:col>7</xdr:col>
      <xdr:colOff>231685</xdr:colOff>
      <xdr:row>19</xdr:row>
      <xdr:rowOff>30403</xdr:rowOff>
    </xdr:from>
    <xdr:to>
      <xdr:col>7</xdr:col>
      <xdr:colOff>456442</xdr:colOff>
      <xdr:row>24</xdr:row>
      <xdr:rowOff>65767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BF26B36E-B995-4A51-9484-0C54E15039C5}"/>
            </a:ext>
          </a:extLst>
        </xdr:cNvPr>
        <xdr:cNvSpPr txBox="1"/>
      </xdr:nvSpPr>
      <xdr:spPr>
        <a:xfrm rot="18452321">
          <a:off x="5741344" y="3826669"/>
          <a:ext cx="940239" cy="224757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>
              <a:solidFill>
                <a:srgbClr val="00B0F0"/>
              </a:solidFill>
            </a:rPr>
            <a:t>RESPITE</a:t>
          </a:r>
        </a:p>
      </xdr:txBody>
    </xdr:sp>
    <xdr:clientData/>
  </xdr:twoCellAnchor>
  <xdr:twoCellAnchor>
    <xdr:from>
      <xdr:col>9</xdr:col>
      <xdr:colOff>436563</xdr:colOff>
      <xdr:row>7</xdr:row>
      <xdr:rowOff>15875</xdr:rowOff>
    </xdr:from>
    <xdr:to>
      <xdr:col>12</xdr:col>
      <xdr:colOff>174625</xdr:colOff>
      <xdr:row>17</xdr:row>
      <xdr:rowOff>31750</xdr:rowOff>
    </xdr:to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EF14FC97-8254-43A6-B6FB-4A455923BB97}"/>
            </a:ext>
          </a:extLst>
        </xdr:cNvPr>
        <xdr:cNvSpPr txBox="1"/>
      </xdr:nvSpPr>
      <xdr:spPr>
        <a:xfrm>
          <a:off x="8008938" y="1238250"/>
          <a:ext cx="2262187" cy="17621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600">
              <a:solidFill>
                <a:srgbClr val="FF0000"/>
              </a:solidFill>
            </a:rPr>
            <a:t>adicionando terapia y</a:t>
          </a:r>
          <a:r>
            <a:rPr lang="es-ES" sz="1600" baseline="0">
              <a:solidFill>
                <a:srgbClr val="FF0000"/>
              </a:solidFill>
            </a:rPr>
            <a:t> estadificacion de riesgo </a:t>
          </a:r>
          <a:endParaRPr lang="es-ES" sz="1600">
            <a:solidFill>
              <a:srgbClr val="FF0000"/>
            </a:solidFill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788988</xdr:colOff>
      <xdr:row>1</xdr:row>
      <xdr:rowOff>23813</xdr:rowOff>
    </xdr:from>
    <xdr:to>
      <xdr:col>38</xdr:col>
      <xdr:colOff>678769</xdr:colOff>
      <xdr:row>3</xdr:row>
      <xdr:rowOff>167822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76116AFB-0F64-43A8-BE7D-45B4F9BFC9C4}"/>
            </a:ext>
          </a:extLst>
        </xdr:cNvPr>
        <xdr:cNvSpPr/>
      </xdr:nvSpPr>
      <xdr:spPr>
        <a:xfrm>
          <a:off x="792163" y="207963"/>
          <a:ext cx="54137831" cy="49960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3200"/>
            <a:t>Formulario</a:t>
          </a:r>
          <a:r>
            <a:rPr lang="es-ES" sz="3200" baseline="0"/>
            <a:t> costos procedimientos</a:t>
          </a:r>
          <a:endParaRPr lang="es-ES" sz="32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16</xdr:col>
      <xdr:colOff>0</xdr:colOff>
      <xdr:row>5</xdr:row>
      <xdr:rowOff>19050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A545B692-04D2-4DA7-972E-C8A75D8C2E73}"/>
            </a:ext>
          </a:extLst>
        </xdr:cNvPr>
        <xdr:cNvSpPr/>
      </xdr:nvSpPr>
      <xdr:spPr>
        <a:xfrm>
          <a:off x="809625" y="180975"/>
          <a:ext cx="24936450" cy="7429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3200"/>
            <a:t>Formulario</a:t>
          </a:r>
          <a:r>
            <a:rPr lang="es-ES" sz="3200" baseline="0"/>
            <a:t> costos de tecnologías</a:t>
          </a:r>
          <a:endParaRPr lang="es-ES" sz="32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2691464</xdr:colOff>
      <xdr:row>90</xdr:row>
      <xdr:rowOff>170652</xdr:rowOff>
    </xdr:from>
    <xdr:to>
      <xdr:col>5</xdr:col>
      <xdr:colOff>1656522</xdr:colOff>
      <xdr:row>107</xdr:row>
      <xdr:rowOff>41413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3F6192F3-AA8B-67D6-F598-DBC70D8C891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1770443</xdr:colOff>
      <xdr:row>11</xdr:row>
      <xdr:rowOff>229784</xdr:rowOff>
    </xdr:from>
    <xdr:to>
      <xdr:col>4</xdr:col>
      <xdr:colOff>1875705</xdr:colOff>
      <xdr:row>25</xdr:row>
      <xdr:rowOff>10123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8D5A8CED-77AD-67CD-9EDE-C2F4DAE7B71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1673324</xdr:colOff>
      <xdr:row>61</xdr:row>
      <xdr:rowOff>180</xdr:rowOff>
    </xdr:from>
    <xdr:to>
      <xdr:col>5</xdr:col>
      <xdr:colOff>610388</xdr:colOff>
      <xdr:row>83</xdr:row>
      <xdr:rowOff>31948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5CC7850C-4C5D-22AE-0327-5C53E6B9051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27609</xdr:colOff>
      <xdr:row>38</xdr:row>
      <xdr:rowOff>140410</xdr:rowOff>
    </xdr:from>
    <xdr:to>
      <xdr:col>6</xdr:col>
      <xdr:colOff>110435</xdr:colOff>
      <xdr:row>55</xdr:row>
      <xdr:rowOff>239013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3CB41E10-C511-D03F-CEEE-560E8322EDD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0</xdr:col>
      <xdr:colOff>832786</xdr:colOff>
      <xdr:row>1</xdr:row>
      <xdr:rowOff>20819</xdr:rowOff>
    </xdr:from>
    <xdr:to>
      <xdr:col>9</xdr:col>
      <xdr:colOff>597128</xdr:colOff>
      <xdr:row>4</xdr:row>
      <xdr:rowOff>20820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F0FB4F64-FC8F-95D8-20EC-0121D0B4B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2786" y="270655"/>
          <a:ext cx="17549651" cy="749509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31</xdr:col>
      <xdr:colOff>704850</xdr:colOff>
      <xdr:row>5</xdr:row>
      <xdr:rowOff>10584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A3C03248-25FC-4A8E-83EA-105DDD7A3D86}"/>
            </a:ext>
          </a:extLst>
        </xdr:cNvPr>
        <xdr:cNvSpPr/>
      </xdr:nvSpPr>
      <xdr:spPr>
        <a:xfrm>
          <a:off x="814917" y="179917"/>
          <a:ext cx="25152350" cy="7302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3200"/>
            <a:t>Formulario</a:t>
          </a:r>
          <a:r>
            <a:rPr lang="es-ES" sz="3200" baseline="0"/>
            <a:t> costos de tecnologías</a:t>
          </a:r>
          <a:endParaRPr lang="es-ES" sz="32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28</xdr:col>
      <xdr:colOff>766989</xdr:colOff>
      <xdr:row>3</xdr:row>
      <xdr:rowOff>157162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2D0F6676-B54B-4495-B25A-719E66577A4F}"/>
            </a:ext>
          </a:extLst>
        </xdr:cNvPr>
        <xdr:cNvSpPr/>
      </xdr:nvSpPr>
      <xdr:spPr>
        <a:xfrm>
          <a:off x="812800" y="177800"/>
          <a:ext cx="22712589" cy="512762"/>
        </a:xfrm>
        <a:prstGeom prst="rect">
          <a:avLst/>
        </a:prstGeom>
        <a:solidFill>
          <a:schemeClr val="accent2"/>
        </a:solidFill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3200"/>
            <a:t>Conclusiones</a:t>
          </a: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19049</xdr:colOff>
      <xdr:row>1</xdr:row>
      <xdr:rowOff>25400</xdr:rowOff>
    </xdr:from>
    <xdr:to>
      <xdr:col>14</xdr:col>
      <xdr:colOff>38099</xdr:colOff>
      <xdr:row>38</xdr:row>
      <xdr:rowOff>97603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147E85B-0BEA-4779-8246-8BED6AE02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4" y="206375"/>
          <a:ext cx="10544175" cy="676827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558800</xdr:colOff>
      <xdr:row>22</xdr:row>
      <xdr:rowOff>57150</xdr:rowOff>
    </xdr:from>
    <xdr:to>
      <xdr:col>8</xdr:col>
      <xdr:colOff>675481</xdr:colOff>
      <xdr:row>62</xdr:row>
      <xdr:rowOff>158750</xdr:rowOff>
    </xdr:to>
    <xdr:grpSp>
      <xdr:nvGrpSpPr>
        <xdr:cNvPr id="7" name="Grupo 6">
          <a:extLst>
            <a:ext uri="{FF2B5EF4-FFF2-40B4-BE49-F238E27FC236}">
              <a16:creationId xmlns:a16="http://schemas.microsoft.com/office/drawing/2014/main" id="{AFC5EC0C-E4F8-4DBB-A1F0-66FC71BE8760}"/>
            </a:ext>
          </a:extLst>
        </xdr:cNvPr>
        <xdr:cNvGrpSpPr/>
      </xdr:nvGrpSpPr>
      <xdr:grpSpPr>
        <a:xfrm>
          <a:off x="330200" y="5103729"/>
          <a:ext cx="8115676" cy="7454232"/>
          <a:chOff x="558800" y="3545681"/>
          <a:chExt cx="6438900" cy="7245350"/>
        </a:xfrm>
      </xdr:grpSpPr>
      <xdr:pic>
        <xdr:nvPicPr>
          <xdr:cNvPr id="3" name="Imagen 2">
            <a:extLst>
              <a:ext uri="{FF2B5EF4-FFF2-40B4-BE49-F238E27FC236}">
                <a16:creationId xmlns:a16="http://schemas.microsoft.com/office/drawing/2014/main" id="{F36EE04A-3AEA-48A3-B425-94B8F1B19BF4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558800" y="3545681"/>
            <a:ext cx="6438900" cy="72453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" name="Rectángulo 3">
            <a:extLst>
              <a:ext uri="{FF2B5EF4-FFF2-40B4-BE49-F238E27FC236}">
                <a16:creationId xmlns:a16="http://schemas.microsoft.com/office/drawing/2014/main" id="{1C57A3C1-8F47-4382-B3A9-15F9D489C107}"/>
              </a:ext>
            </a:extLst>
          </xdr:cNvPr>
          <xdr:cNvSpPr/>
        </xdr:nvSpPr>
        <xdr:spPr>
          <a:xfrm>
            <a:off x="888999" y="5883275"/>
            <a:ext cx="1206500" cy="1852614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ES" sz="1100"/>
          </a:p>
        </xdr:txBody>
      </xdr:sp>
      <xdr:sp macro="" textlink="">
        <xdr:nvSpPr>
          <xdr:cNvPr id="5" name="Rectángulo 4">
            <a:extLst>
              <a:ext uri="{FF2B5EF4-FFF2-40B4-BE49-F238E27FC236}">
                <a16:creationId xmlns:a16="http://schemas.microsoft.com/office/drawing/2014/main" id="{B31A0E26-6D8D-4DF4-8D9C-050B3EA56045}"/>
              </a:ext>
            </a:extLst>
          </xdr:cNvPr>
          <xdr:cNvSpPr/>
        </xdr:nvSpPr>
        <xdr:spPr>
          <a:xfrm>
            <a:off x="4291805" y="5904706"/>
            <a:ext cx="1203325" cy="1855789"/>
          </a:xfrm>
          <a:prstGeom prst="rect">
            <a:avLst/>
          </a:prstGeom>
          <a:noFill/>
          <a:ln w="28575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s-ES" sz="1100"/>
          </a:p>
        </xdr:txBody>
      </xdr:sp>
    </xdr:grpSp>
    <xdr:clientData/>
  </xdr:twoCellAnchor>
  <xdr:twoCellAnchor editAs="oneCell">
    <xdr:from>
      <xdr:col>26</xdr:col>
      <xdr:colOff>349149</xdr:colOff>
      <xdr:row>22</xdr:row>
      <xdr:rowOff>155508</xdr:rowOff>
    </xdr:from>
    <xdr:to>
      <xdr:col>33</xdr:col>
      <xdr:colOff>96737</xdr:colOff>
      <xdr:row>55</xdr:row>
      <xdr:rowOff>41943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CD5270F7-DD41-4848-AFFE-9E3B63977D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1411" r="768" b="-1"/>
        <a:stretch/>
      </xdr:blipFill>
      <xdr:spPr>
        <a:xfrm>
          <a:off x="22955149" y="4886258"/>
          <a:ext cx="5637213" cy="5649060"/>
        </a:xfrm>
        <a:prstGeom prst="rect">
          <a:avLst/>
        </a:prstGeom>
      </xdr:spPr>
    </xdr:pic>
    <xdr:clientData/>
  </xdr:twoCellAnchor>
  <xdr:twoCellAnchor editAs="oneCell">
    <xdr:from>
      <xdr:col>8</xdr:col>
      <xdr:colOff>590551</xdr:colOff>
      <xdr:row>22</xdr:row>
      <xdr:rowOff>39688</xdr:rowOff>
    </xdr:from>
    <xdr:to>
      <xdr:col>25</xdr:col>
      <xdr:colOff>448443</xdr:colOff>
      <xdr:row>73</xdr:row>
      <xdr:rowOff>65128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8D1B56E-86DC-1193-787A-CF4640CE86F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b="1522"/>
        <a:stretch/>
      </xdr:blipFill>
      <xdr:spPr>
        <a:xfrm>
          <a:off x="7998884" y="5103406"/>
          <a:ext cx="13974432" cy="9159671"/>
        </a:xfrm>
        <a:prstGeom prst="rect">
          <a:avLst/>
        </a:prstGeom>
      </xdr:spPr>
    </xdr:pic>
    <xdr:clientData/>
  </xdr:twoCellAnchor>
  <xdr:twoCellAnchor>
    <xdr:from>
      <xdr:col>25</xdr:col>
      <xdr:colOff>196089</xdr:colOff>
      <xdr:row>22</xdr:row>
      <xdr:rowOff>103185</xdr:rowOff>
    </xdr:from>
    <xdr:to>
      <xdr:col>26</xdr:col>
      <xdr:colOff>756063</xdr:colOff>
      <xdr:row>55</xdr:row>
      <xdr:rowOff>23812</xdr:rowOff>
    </xdr:to>
    <xdr:sp macro="" textlink="">
      <xdr:nvSpPr>
        <xdr:cNvPr id="9" name="Cerrar llave 8">
          <a:extLst>
            <a:ext uri="{FF2B5EF4-FFF2-40B4-BE49-F238E27FC236}">
              <a16:creationId xmlns:a16="http://schemas.microsoft.com/office/drawing/2014/main" id="{C157533F-2CA6-4278-5B9F-62CBCD19CD4B}"/>
            </a:ext>
          </a:extLst>
        </xdr:cNvPr>
        <xdr:cNvSpPr/>
      </xdr:nvSpPr>
      <xdr:spPr>
        <a:xfrm rot="10800000">
          <a:off x="21960714" y="4833935"/>
          <a:ext cx="1401349" cy="5683252"/>
        </a:xfrm>
        <a:prstGeom prst="rightBrac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277732</xdr:colOff>
      <xdr:row>38</xdr:row>
      <xdr:rowOff>5537</xdr:rowOff>
    </xdr:from>
    <xdr:to>
      <xdr:col>10</xdr:col>
      <xdr:colOff>658500</xdr:colOff>
      <xdr:row>39</xdr:row>
      <xdr:rowOff>78188</xdr:rowOff>
    </xdr:to>
    <xdr:sp macro="" textlink="">
      <xdr:nvSpPr>
        <xdr:cNvPr id="10" name="Estrella: 5 puntas 9">
          <a:extLst>
            <a:ext uri="{FF2B5EF4-FFF2-40B4-BE49-F238E27FC236}">
              <a16:creationId xmlns:a16="http://schemas.microsoft.com/office/drawing/2014/main" id="{863F65BB-4D9B-0A48-FD84-F409162230DA}"/>
            </a:ext>
          </a:extLst>
        </xdr:cNvPr>
        <xdr:cNvSpPr/>
      </xdr:nvSpPr>
      <xdr:spPr>
        <a:xfrm>
          <a:off x="9346835" y="7674383"/>
          <a:ext cx="380768" cy="251754"/>
        </a:xfrm>
        <a:prstGeom prst="star5">
          <a:avLst/>
        </a:prstGeom>
        <a:solidFill>
          <a:schemeClr val="accent4"/>
        </a:solidFill>
        <a:ln>
          <a:solidFill>
            <a:schemeClr val="accent4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</xdr:col>
      <xdr:colOff>288925</xdr:colOff>
      <xdr:row>39</xdr:row>
      <xdr:rowOff>163513</xdr:rowOff>
    </xdr:from>
    <xdr:to>
      <xdr:col>10</xdr:col>
      <xdr:colOff>635406</xdr:colOff>
      <xdr:row>41</xdr:row>
      <xdr:rowOff>40909</xdr:rowOff>
    </xdr:to>
    <xdr:sp macro="" textlink="">
      <xdr:nvSpPr>
        <xdr:cNvPr id="11" name="Estrella: 5 puntas 10">
          <a:extLst>
            <a:ext uri="{FF2B5EF4-FFF2-40B4-BE49-F238E27FC236}">
              <a16:creationId xmlns:a16="http://schemas.microsoft.com/office/drawing/2014/main" id="{90D46F2B-2931-443A-A6DC-5836A2908BC1}"/>
            </a:ext>
          </a:extLst>
        </xdr:cNvPr>
        <xdr:cNvSpPr/>
      </xdr:nvSpPr>
      <xdr:spPr>
        <a:xfrm>
          <a:off x="9432925" y="7862888"/>
          <a:ext cx="346481" cy="226646"/>
        </a:xfrm>
        <a:prstGeom prst="star5">
          <a:avLst/>
        </a:prstGeom>
        <a:solidFill>
          <a:schemeClr val="accent4"/>
        </a:solidFill>
        <a:ln>
          <a:solidFill>
            <a:schemeClr val="accent4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12</xdr:col>
      <xdr:colOff>592138</xdr:colOff>
      <xdr:row>47</xdr:row>
      <xdr:rowOff>103188</xdr:rowOff>
    </xdr:from>
    <xdr:to>
      <xdr:col>13</xdr:col>
      <xdr:colOff>241300</xdr:colOff>
      <xdr:row>50</xdr:row>
      <xdr:rowOff>4762</xdr:rowOff>
    </xdr:to>
    <xdr:sp macro="" textlink="">
      <xdr:nvSpPr>
        <xdr:cNvPr id="12" name="Estrella: 5 puntas 11">
          <a:extLst>
            <a:ext uri="{FF2B5EF4-FFF2-40B4-BE49-F238E27FC236}">
              <a16:creationId xmlns:a16="http://schemas.microsoft.com/office/drawing/2014/main" id="{C3033B22-4588-4305-9F62-25365445E171}"/>
            </a:ext>
          </a:extLst>
        </xdr:cNvPr>
        <xdr:cNvSpPr/>
      </xdr:nvSpPr>
      <xdr:spPr>
        <a:xfrm>
          <a:off x="11418888" y="9199563"/>
          <a:ext cx="490537" cy="425449"/>
        </a:xfrm>
        <a:prstGeom prst="star5">
          <a:avLst/>
        </a:prstGeom>
        <a:solidFill>
          <a:schemeClr val="accent4"/>
        </a:solidFill>
        <a:ln>
          <a:solidFill>
            <a:schemeClr val="accent4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</xdr:col>
      <xdr:colOff>308919</xdr:colOff>
      <xdr:row>11</xdr:row>
      <xdr:rowOff>110524</xdr:rowOff>
    </xdr:from>
    <xdr:to>
      <xdr:col>4</xdr:col>
      <xdr:colOff>409496</xdr:colOff>
      <xdr:row>13</xdr:row>
      <xdr:rowOff>212124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A88E4E48-08C5-D59B-7782-40A1DBE576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8749" t="-6630" b="1"/>
        <a:stretch/>
      </xdr:blipFill>
      <xdr:spPr>
        <a:xfrm>
          <a:off x="308919" y="2272956"/>
          <a:ext cx="4511253" cy="496330"/>
        </a:xfrm>
        <a:prstGeom prst="rect">
          <a:avLst/>
        </a:prstGeom>
      </xdr:spPr>
    </xdr:pic>
    <xdr:clientData/>
  </xdr:twoCellAnchor>
  <xdr:twoCellAnchor editAs="oneCell">
    <xdr:from>
      <xdr:col>1</xdr:col>
      <xdr:colOff>291756</xdr:colOff>
      <xdr:row>19</xdr:row>
      <xdr:rowOff>59038</xdr:rowOff>
    </xdr:from>
    <xdr:to>
      <xdr:col>4</xdr:col>
      <xdr:colOff>371805</xdr:colOff>
      <xdr:row>21</xdr:row>
      <xdr:rowOff>147939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73AB8B63-9743-FF59-F65C-E73E7512EC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17045" t="-6629"/>
        <a:stretch/>
      </xdr:blipFill>
      <xdr:spPr>
        <a:xfrm>
          <a:off x="291756" y="4504038"/>
          <a:ext cx="4490725" cy="483631"/>
        </a:xfrm>
        <a:prstGeom prst="rect">
          <a:avLst/>
        </a:prstGeom>
      </xdr:spPr>
    </xdr:pic>
    <xdr:clientData/>
  </xdr:twoCellAnchor>
  <xdr:twoCellAnchor editAs="oneCell">
    <xdr:from>
      <xdr:col>1</xdr:col>
      <xdr:colOff>178593</xdr:colOff>
      <xdr:row>1</xdr:row>
      <xdr:rowOff>-1</xdr:rowOff>
    </xdr:from>
    <xdr:to>
      <xdr:col>34</xdr:col>
      <xdr:colOff>0</xdr:colOff>
      <xdr:row>4</xdr:row>
      <xdr:rowOff>138906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491E7CB-1967-D39E-F492-CA302ED4DC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8593" y="178593"/>
          <a:ext cx="29249688" cy="67468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765527</xdr:colOff>
      <xdr:row>6</xdr:row>
      <xdr:rowOff>84666</xdr:rowOff>
    </xdr:from>
    <xdr:to>
      <xdr:col>12</xdr:col>
      <xdr:colOff>827969</xdr:colOff>
      <xdr:row>20</xdr:row>
      <xdr:rowOff>84666</xdr:rowOff>
    </xdr:to>
    <xdr:graphicFrame macro="">
      <xdr:nvGraphicFramePr>
        <xdr:cNvPr id="4" name="Diagrama 3">
          <a:extLst>
            <a:ext uri="{FF2B5EF4-FFF2-40B4-BE49-F238E27FC236}">
              <a16:creationId xmlns:a16="http://schemas.microsoft.com/office/drawing/2014/main" id="{CBEF0A80-BC1E-49D9-97F3-D7F6A0744A0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twoCellAnchor editAs="oneCell">
    <xdr:from>
      <xdr:col>5</xdr:col>
      <xdr:colOff>56199</xdr:colOff>
      <xdr:row>77</xdr:row>
      <xdr:rowOff>40283</xdr:rowOff>
    </xdr:from>
    <xdr:to>
      <xdr:col>7</xdr:col>
      <xdr:colOff>468530</xdr:colOff>
      <xdr:row>91</xdr:row>
      <xdr:rowOff>6369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37AD5B53-2E64-4B2E-A7EF-71C7D09349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719820" y="15685369"/>
          <a:ext cx="5043451" cy="2418500"/>
        </a:xfrm>
        <a:prstGeom prst="rect">
          <a:avLst/>
        </a:prstGeom>
      </xdr:spPr>
    </xdr:pic>
    <xdr:clientData/>
  </xdr:twoCellAnchor>
  <xdr:twoCellAnchor editAs="oneCell">
    <xdr:from>
      <xdr:col>4</xdr:col>
      <xdr:colOff>2148461</xdr:colOff>
      <xdr:row>59</xdr:row>
      <xdr:rowOff>120356</xdr:rowOff>
    </xdr:from>
    <xdr:to>
      <xdr:col>6</xdr:col>
      <xdr:colOff>485746</xdr:colOff>
      <xdr:row>74</xdr:row>
      <xdr:rowOff>147117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CE5B293-E688-430B-B162-60174AB31E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655271" y="12535701"/>
          <a:ext cx="4282199" cy="2654347"/>
        </a:xfrm>
        <a:prstGeom prst="rect">
          <a:avLst/>
        </a:prstGeom>
      </xdr:spPr>
    </xdr:pic>
    <xdr:clientData/>
  </xdr:twoCellAnchor>
  <xdr:twoCellAnchor>
    <xdr:from>
      <xdr:col>3</xdr:col>
      <xdr:colOff>17462</xdr:colOff>
      <xdr:row>102</xdr:row>
      <xdr:rowOff>3174</xdr:rowOff>
    </xdr:from>
    <xdr:to>
      <xdr:col>8</xdr:col>
      <xdr:colOff>797718</xdr:colOff>
      <xdr:row>116</xdr:row>
      <xdr:rowOff>-1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BA0BD664-17DD-4691-A130-E1F8270A4604}"/>
            </a:ext>
          </a:extLst>
        </xdr:cNvPr>
        <xdr:cNvSpPr/>
      </xdr:nvSpPr>
      <xdr:spPr>
        <a:xfrm>
          <a:off x="5422900" y="12385674"/>
          <a:ext cx="9078912" cy="2497138"/>
        </a:xfrm>
        <a:prstGeom prst="rect">
          <a:avLst/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s-ES" sz="1800" b="1"/>
            <a:t>Costo estadio = X(n)</a:t>
          </a:r>
          <a:r>
            <a:rPr lang="es-ES" sz="1800" b="1" baseline="0"/>
            <a:t> * ∑(B(c);</a:t>
          </a:r>
          <a:r>
            <a:rPr lang="es-ES" sz="18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∑(</a:t>
          </a:r>
          <a:r>
            <a:rPr lang="es-ES" sz="1800" b="1" baseline="0"/>
            <a:t>Dx(e)) * </a:t>
          </a:r>
          <a:r>
            <a:rPr lang="es-ES" sz="18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∑(</a:t>
          </a:r>
          <a:r>
            <a:rPr lang="es-ES" sz="1800" b="1" baseline="0"/>
            <a:t>Fx1(X(n))*f);(Fx2</a:t>
          </a:r>
          <a:r>
            <a:rPr lang="es-ES" sz="1800" b="1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(X(n))*g)</a:t>
          </a:r>
          <a:r>
            <a:rPr lang="es-ES" sz="1800" b="1" baseline="0"/>
            <a:t> </a:t>
          </a:r>
        </a:p>
        <a:p>
          <a:pPr algn="l"/>
          <a:r>
            <a:rPr lang="es-ES" sz="1600" baseline="0"/>
            <a:t>donde:</a:t>
          </a:r>
        </a:p>
        <a:p>
          <a:pPr algn="l"/>
          <a:endParaRPr lang="es-ES" sz="1600" baseline="0"/>
        </a:p>
        <a:p>
          <a:pPr algn="l"/>
          <a:r>
            <a:rPr lang="es-ES" sz="1600" baseline="0"/>
            <a:t>X = Proporción de pacientes por estadio </a:t>
          </a:r>
        </a:p>
        <a:p>
          <a:pPr algn="l"/>
          <a:r>
            <a:rPr lang="es-ES" sz="1600" baseline="0"/>
            <a:t>n = Total de la cohorte</a:t>
          </a:r>
        </a:p>
        <a:p>
          <a:pPr algn="l"/>
          <a:r>
            <a:rPr lang="es-ES" sz="1600" baseline="0"/>
            <a:t>B = Proporción de uso del recurso clínico por estadio </a:t>
          </a:r>
        </a:p>
        <a:p>
          <a:pPr algn="l"/>
          <a:r>
            <a:rPr lang="es-ES" sz="1600" baseline="0"/>
            <a:t>c = Costo del recurso clínico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ES" sz="1600" baseline="0"/>
            <a:t>Dx = </a:t>
          </a:r>
          <a:r>
            <a:rPr lang="es-ES" sz="16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Proporción de uso de tecnlogía o tecnologías específicas por estadio 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ES" sz="1600">
              <a:effectLst/>
            </a:rPr>
            <a:t>e = Costo de la tecnología</a:t>
          </a:r>
          <a:r>
            <a:rPr lang="es-ES" sz="1600" baseline="0">
              <a:effectLst/>
            </a:rPr>
            <a:t> o tecnologías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ES" sz="1600" baseline="0">
              <a:effectLst/>
            </a:rPr>
            <a:t>Fx1 = Proporción de pacientes por estadio que se complican con IC derecha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ES" sz="1600" baseline="0">
              <a:effectLst/>
            </a:rPr>
            <a:t>f = Costo de la complicacion 1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ES" sz="16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Fx2 = Proporción de pacientes por estadio que se complican con infecciones</a:t>
          </a: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s-ES" sz="1600" baseline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g = Costo de la complicacion 2</a:t>
          </a:r>
          <a:endParaRPr lang="es-ES" sz="1600"/>
        </a:p>
      </xdr:txBody>
    </xdr:sp>
    <xdr:clientData/>
  </xdr:twoCellAnchor>
  <xdr:twoCellAnchor>
    <xdr:from>
      <xdr:col>3</xdr:col>
      <xdr:colOff>11906</xdr:colOff>
      <xdr:row>119</xdr:row>
      <xdr:rowOff>0</xdr:rowOff>
    </xdr:from>
    <xdr:to>
      <xdr:col>9</xdr:col>
      <xdr:colOff>11906</xdr:colOff>
      <xdr:row>124</xdr:row>
      <xdr:rowOff>-1</xdr:rowOff>
    </xdr:to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ED15210C-FD68-4994-941D-011B357532E2}"/>
            </a:ext>
          </a:extLst>
        </xdr:cNvPr>
        <xdr:cNvSpPr/>
      </xdr:nvSpPr>
      <xdr:spPr>
        <a:xfrm>
          <a:off x="5417344" y="15418594"/>
          <a:ext cx="9108281" cy="892968"/>
        </a:xfrm>
        <a:prstGeom prst="rect">
          <a:avLst/>
        </a:prstGeom>
        <a:ln>
          <a:solidFill>
            <a:srgbClr val="ED5511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s-ES" sz="1600" b="1" baseline="0">
              <a:solidFill>
                <a:schemeClr val="dk1"/>
              </a:solidFill>
              <a:latin typeface="+mn-lt"/>
              <a:ea typeface="+mn-ea"/>
              <a:cs typeface="+mn-cs"/>
            </a:rPr>
            <a:t>Costo del estadio - ∑(Ahorros generados por valores agregados+Ahorros generados por costo evitables versus genéricos+Ahorros generados por disminución de costos de descompensación) </a:t>
          </a:r>
        </a:p>
      </xdr:txBody>
    </xdr:sp>
    <xdr:clientData/>
  </xdr:twoCellAnchor>
  <xdr:twoCellAnchor editAs="oneCell">
    <xdr:from>
      <xdr:col>5</xdr:col>
      <xdr:colOff>26430</xdr:colOff>
      <xdr:row>42</xdr:row>
      <xdr:rowOff>81882</xdr:rowOff>
    </xdr:from>
    <xdr:to>
      <xdr:col>7</xdr:col>
      <xdr:colOff>279217</xdr:colOff>
      <xdr:row>57</xdr:row>
      <xdr:rowOff>87064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2C439538-929D-2767-72E1-7CCC701317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6090" t="21112" r="6951" b="12016"/>
        <a:stretch/>
      </xdr:blipFill>
      <xdr:spPr>
        <a:xfrm>
          <a:off x="10690051" y="9366020"/>
          <a:ext cx="4883907" cy="2709406"/>
        </a:xfrm>
        <a:prstGeom prst="rect">
          <a:avLst/>
        </a:prstGeom>
      </xdr:spPr>
    </xdr:pic>
    <xdr:clientData/>
  </xdr:twoCellAnchor>
  <xdr:twoCellAnchor>
    <xdr:from>
      <xdr:col>6</xdr:col>
      <xdr:colOff>397779</xdr:colOff>
      <xdr:row>47</xdr:row>
      <xdr:rowOff>132498</xdr:rowOff>
    </xdr:from>
    <xdr:to>
      <xdr:col>7</xdr:col>
      <xdr:colOff>110156</xdr:colOff>
      <xdr:row>50</xdr:row>
      <xdr:rowOff>130365</xdr:rowOff>
    </xdr:to>
    <xdr:sp macro="" textlink="">
      <xdr:nvSpPr>
        <xdr:cNvPr id="15" name="Elipse 14">
          <a:extLst>
            <a:ext uri="{FF2B5EF4-FFF2-40B4-BE49-F238E27FC236}">
              <a16:creationId xmlns:a16="http://schemas.microsoft.com/office/drawing/2014/main" id="{C5EB6B52-D4F1-4A52-898F-65669F0A55E4}"/>
            </a:ext>
          </a:extLst>
        </xdr:cNvPr>
        <xdr:cNvSpPr/>
      </xdr:nvSpPr>
      <xdr:spPr>
        <a:xfrm>
          <a:off x="14849503" y="10369136"/>
          <a:ext cx="555394" cy="52338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0</xdr:col>
      <xdr:colOff>126999</xdr:colOff>
      <xdr:row>0</xdr:row>
      <xdr:rowOff>49010</xdr:rowOff>
    </xdr:from>
    <xdr:to>
      <xdr:col>14</xdr:col>
      <xdr:colOff>0</xdr:colOff>
      <xdr:row>5</xdr:row>
      <xdr:rowOff>109486</xdr:rowOff>
    </xdr:to>
    <xdr:pic>
      <xdr:nvPicPr>
        <xdr:cNvPr id="11" name="Imagen 10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BA64B8CD-CBC4-8340-8607-963DE832F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6999" y="49010"/>
          <a:ext cx="19661910" cy="926385"/>
        </a:xfrm>
        <a:prstGeom prst="rect">
          <a:avLst/>
        </a:prstGeom>
      </xdr:spPr>
    </xdr:pic>
    <xdr:clientData/>
  </xdr:twoCellAnchor>
  <xdr:twoCellAnchor editAs="oneCell">
    <xdr:from>
      <xdr:col>1</xdr:col>
      <xdr:colOff>581292</xdr:colOff>
      <xdr:row>5</xdr:row>
      <xdr:rowOff>68105</xdr:rowOff>
    </xdr:from>
    <xdr:to>
      <xdr:col>2</xdr:col>
      <xdr:colOff>200638</xdr:colOff>
      <xdr:row>12</xdr:row>
      <xdr:rowOff>25386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4F000D73-AC92-BB48-9F61-E051B6420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23639" y="975248"/>
          <a:ext cx="3403428" cy="1227281"/>
        </a:xfrm>
        <a:prstGeom prst="rect">
          <a:avLst/>
        </a:prstGeom>
      </xdr:spPr>
    </xdr:pic>
    <xdr:clientData/>
  </xdr:twoCellAnchor>
  <xdr:twoCellAnchor editAs="oneCell">
    <xdr:from>
      <xdr:col>1</xdr:col>
      <xdr:colOff>581293</xdr:colOff>
      <xdr:row>33</xdr:row>
      <xdr:rowOff>150205</xdr:rowOff>
    </xdr:from>
    <xdr:to>
      <xdr:col>2</xdr:col>
      <xdr:colOff>200639</xdr:colOff>
      <xdr:row>37</xdr:row>
      <xdr:rowOff>244339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DF573902-F8C2-1D44-9635-482BB82A1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23640" y="7381429"/>
          <a:ext cx="3403428" cy="1130869"/>
        </a:xfrm>
        <a:prstGeom prst="rect">
          <a:avLst/>
        </a:prstGeom>
      </xdr:spPr>
    </xdr:pic>
    <xdr:clientData/>
  </xdr:twoCellAnchor>
  <xdr:twoCellAnchor editAs="oneCell">
    <xdr:from>
      <xdr:col>1</xdr:col>
      <xdr:colOff>724079</xdr:colOff>
      <xdr:row>101</xdr:row>
      <xdr:rowOff>38830</xdr:rowOff>
    </xdr:from>
    <xdr:to>
      <xdr:col>2</xdr:col>
      <xdr:colOff>343425</xdr:colOff>
      <xdr:row>108</xdr:row>
      <xdr:rowOff>1903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EA6D2DEC-5391-194B-9032-8EDB1D492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1897" y="20127921"/>
          <a:ext cx="3406255" cy="1175346"/>
        </a:xfrm>
        <a:prstGeom prst="rect">
          <a:avLst/>
        </a:prstGeom>
      </xdr:spPr>
    </xdr:pic>
    <xdr:clientData/>
  </xdr:twoCellAnchor>
  <xdr:twoCellAnchor>
    <xdr:from>
      <xdr:col>5</xdr:col>
      <xdr:colOff>2782509</xdr:colOff>
      <xdr:row>47</xdr:row>
      <xdr:rowOff>116429</xdr:rowOff>
    </xdr:from>
    <xdr:to>
      <xdr:col>5</xdr:col>
      <xdr:colOff>3337233</xdr:colOff>
      <xdr:row>50</xdr:row>
      <xdr:rowOff>114296</xdr:rowOff>
    </xdr:to>
    <xdr:sp macro="" textlink="">
      <xdr:nvSpPr>
        <xdr:cNvPr id="2" name="Elipse 1">
          <a:extLst>
            <a:ext uri="{FF2B5EF4-FFF2-40B4-BE49-F238E27FC236}">
              <a16:creationId xmlns:a16="http://schemas.microsoft.com/office/drawing/2014/main" id="{892C1393-3295-464C-B380-225388F96759}"/>
            </a:ext>
          </a:extLst>
        </xdr:cNvPr>
        <xdr:cNvSpPr/>
      </xdr:nvSpPr>
      <xdr:spPr>
        <a:xfrm>
          <a:off x="13446130" y="10353067"/>
          <a:ext cx="554724" cy="52338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</xdr:col>
      <xdr:colOff>2142353</xdr:colOff>
      <xdr:row>47</xdr:row>
      <xdr:rowOff>99653</xdr:rowOff>
    </xdr:from>
    <xdr:to>
      <xdr:col>5</xdr:col>
      <xdr:colOff>544287</xdr:colOff>
      <xdr:row>50</xdr:row>
      <xdr:rowOff>97520</xdr:rowOff>
    </xdr:to>
    <xdr:sp macro="" textlink="">
      <xdr:nvSpPr>
        <xdr:cNvPr id="7" name="Elipse 6">
          <a:extLst>
            <a:ext uri="{FF2B5EF4-FFF2-40B4-BE49-F238E27FC236}">
              <a16:creationId xmlns:a16="http://schemas.microsoft.com/office/drawing/2014/main" id="{EB6AFD52-6701-4245-B88A-72B95CFFC710}"/>
            </a:ext>
          </a:extLst>
        </xdr:cNvPr>
        <xdr:cNvSpPr/>
      </xdr:nvSpPr>
      <xdr:spPr>
        <a:xfrm>
          <a:off x="10649163" y="10336291"/>
          <a:ext cx="558745" cy="523384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5</xdr:col>
      <xdr:colOff>3184904</xdr:colOff>
      <xdr:row>11</xdr:row>
      <xdr:rowOff>8819</xdr:rowOff>
    </xdr:from>
    <xdr:to>
      <xdr:col>6</xdr:col>
      <xdr:colOff>26457</xdr:colOff>
      <xdr:row>14</xdr:row>
      <xdr:rowOff>57327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71BA0054-7A8A-9482-74BF-86D161EC8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38793" y="1949097"/>
          <a:ext cx="625095" cy="577674"/>
        </a:xfrm>
        <a:prstGeom prst="rect">
          <a:avLst/>
        </a:prstGeom>
      </xdr:spPr>
    </xdr:pic>
    <xdr:clientData/>
  </xdr:twoCellAnchor>
  <xdr:twoCellAnchor editAs="oneCell">
    <xdr:from>
      <xdr:col>4</xdr:col>
      <xdr:colOff>1392004</xdr:colOff>
      <xdr:row>11</xdr:row>
      <xdr:rowOff>38220</xdr:rowOff>
    </xdr:from>
    <xdr:to>
      <xdr:col>4</xdr:col>
      <xdr:colOff>1968004</xdr:colOff>
      <xdr:row>14</xdr:row>
      <xdr:rowOff>10900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15540FED-4329-C384-799A-D17F16412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01004" y="1900887"/>
          <a:ext cx="576000" cy="480680"/>
        </a:xfrm>
        <a:prstGeom prst="rect">
          <a:avLst/>
        </a:prstGeom>
      </xdr:spPr>
    </xdr:pic>
    <xdr:clientData/>
  </xdr:twoCellAnchor>
  <xdr:twoCellAnchor editAs="oneCell">
    <xdr:from>
      <xdr:col>5</xdr:col>
      <xdr:colOff>1234721</xdr:colOff>
      <xdr:row>11</xdr:row>
      <xdr:rowOff>39687</xdr:rowOff>
    </xdr:from>
    <xdr:to>
      <xdr:col>5</xdr:col>
      <xdr:colOff>1794684</xdr:colOff>
      <xdr:row>14</xdr:row>
      <xdr:rowOff>17639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48CE6CBD-E704-4C0B-A855-DA839E8967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88610" y="1979965"/>
          <a:ext cx="559963" cy="50711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18141</xdr:colOff>
      <xdr:row>0</xdr:row>
      <xdr:rowOff>213602</xdr:rowOff>
    </xdr:from>
    <xdr:to>
      <xdr:col>12</xdr:col>
      <xdr:colOff>90715</xdr:colOff>
      <xdr:row>3</xdr:row>
      <xdr:rowOff>107092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7812373-BAE0-8DA6-A7AB-00AF8B6155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1427" y="213602"/>
          <a:ext cx="28212145" cy="65549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1751047</xdr:colOff>
      <xdr:row>28</xdr:row>
      <xdr:rowOff>114834</xdr:rowOff>
    </xdr:from>
    <xdr:to>
      <xdr:col>7</xdr:col>
      <xdr:colOff>459499</xdr:colOff>
      <xdr:row>33</xdr:row>
      <xdr:rowOff>424821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87295A4-7101-B059-F898-AF40CAE8A7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37913" y="8635207"/>
          <a:ext cx="3542034" cy="1788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49462</xdr:colOff>
      <xdr:row>7</xdr:row>
      <xdr:rowOff>110058</xdr:rowOff>
    </xdr:from>
    <xdr:to>
      <xdr:col>9</xdr:col>
      <xdr:colOff>0</xdr:colOff>
      <xdr:row>16</xdr:row>
      <xdr:rowOff>186862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A83EF8B8-334F-4902-9950-D975F552E87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104253</xdr:colOff>
      <xdr:row>0</xdr:row>
      <xdr:rowOff>0</xdr:rowOff>
    </xdr:from>
    <xdr:to>
      <xdr:col>9</xdr:col>
      <xdr:colOff>85298</xdr:colOff>
      <xdr:row>4</xdr:row>
      <xdr:rowOff>118677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F3B8A676-AE29-9E43-BD82-3B3A51D400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253" y="0"/>
          <a:ext cx="17429329" cy="83897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45358</xdr:colOff>
      <xdr:row>0</xdr:row>
      <xdr:rowOff>96983</xdr:rowOff>
    </xdr:from>
    <xdr:to>
      <xdr:col>13</xdr:col>
      <xdr:colOff>0</xdr:colOff>
      <xdr:row>4</xdr:row>
      <xdr:rowOff>6375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7646D5FE-A7DC-4F0F-EBCE-FFC26F640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1429" y="96983"/>
          <a:ext cx="26284464" cy="63510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</xdr:row>
      <xdr:rowOff>0</xdr:rowOff>
    </xdr:from>
    <xdr:to>
      <xdr:col>12</xdr:col>
      <xdr:colOff>754565</xdr:colOff>
      <xdr:row>5</xdr:row>
      <xdr:rowOff>29534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E665A360-ED7E-7B44-BD73-81E5092BA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7210" y="177209"/>
          <a:ext cx="30525727" cy="7383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29207</xdr:colOff>
      <xdr:row>21</xdr:row>
      <xdr:rowOff>130173</xdr:rowOff>
    </xdr:from>
    <xdr:to>
      <xdr:col>3</xdr:col>
      <xdr:colOff>378618</xdr:colOff>
      <xdr:row>40</xdr:row>
      <xdr:rowOff>15722</xdr:rowOff>
    </xdr:to>
    <xdr:pic>
      <xdr:nvPicPr>
        <xdr:cNvPr id="3" name="2 Imagen">
          <a:extLst>
            <a:ext uri="{FF2B5EF4-FFF2-40B4-BE49-F238E27FC236}">
              <a16:creationId xmlns:a16="http://schemas.microsoft.com/office/drawing/2014/main" id="{4CDC3C26-29BB-4865-A679-7C5AB6214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582" y="9004298"/>
          <a:ext cx="6826411" cy="5330674"/>
        </a:xfrm>
        <a:prstGeom prst="rect">
          <a:avLst/>
        </a:prstGeom>
      </xdr:spPr>
    </xdr:pic>
    <xdr:clientData/>
  </xdr:twoCellAnchor>
  <xdr:twoCellAnchor editAs="oneCell">
    <xdr:from>
      <xdr:col>0</xdr:col>
      <xdr:colOff>293077</xdr:colOff>
      <xdr:row>1</xdr:row>
      <xdr:rowOff>42142</xdr:rowOff>
    </xdr:from>
    <xdr:to>
      <xdr:col>11</xdr:col>
      <xdr:colOff>163871</xdr:colOff>
      <xdr:row>6</xdr:row>
      <xdr:rowOff>184354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AFA3B10-ED8C-6399-191F-1880697E3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3077" y="287948"/>
          <a:ext cx="33300471" cy="1371245"/>
        </a:xfrm>
        <a:prstGeom prst="rect">
          <a:avLst/>
        </a:prstGeom>
      </xdr:spPr>
    </xdr:pic>
    <xdr:clientData/>
  </xdr:twoCellAnchor>
  <xdr:twoCellAnchor editAs="oneCell">
    <xdr:from>
      <xdr:col>11</xdr:col>
      <xdr:colOff>293077</xdr:colOff>
      <xdr:row>1</xdr:row>
      <xdr:rowOff>48845</xdr:rowOff>
    </xdr:from>
    <xdr:to>
      <xdr:col>32</xdr:col>
      <xdr:colOff>42334</xdr:colOff>
      <xdr:row>6</xdr:row>
      <xdr:rowOff>159311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FDACF1D-4AA6-43D3-BCA3-C17275FFD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778744" y="302845"/>
          <a:ext cx="50506923" cy="138046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15</xdr:col>
      <xdr:colOff>0</xdr:colOff>
      <xdr:row>5</xdr:row>
      <xdr:rowOff>0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89AE8035-D2A7-437C-8401-E4D94C649B98}"/>
            </a:ext>
          </a:extLst>
        </xdr:cNvPr>
        <xdr:cNvSpPr/>
      </xdr:nvSpPr>
      <xdr:spPr>
        <a:xfrm>
          <a:off x="819150" y="190500"/>
          <a:ext cx="24993600" cy="7810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ES" sz="3200"/>
            <a:t>Formulario</a:t>
          </a:r>
          <a:r>
            <a:rPr lang="es-ES" sz="3200" baseline="0"/>
            <a:t> costos de tecnologías</a:t>
          </a:r>
          <a:endParaRPr lang="es-ES" sz="3200"/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ED7E38-FD3A-4FCD-9BFF-BF790846EAC5}">
  <sheetPr>
    <tabColor theme="5"/>
    <pageSetUpPr fitToPage="1"/>
  </sheetPr>
  <dimension ref="A1:T40"/>
  <sheetViews>
    <sheetView showGridLines="0" view="pageLayout" zoomScale="50" zoomScaleNormal="40" zoomScaleSheetLayoutView="48" zoomScalePageLayoutView="50" workbookViewId="0"/>
  </sheetViews>
  <sheetFormatPr baseColWidth="10" defaultColWidth="0" defaultRowHeight="14" zeroHeight="1" x14ac:dyDescent="0.3"/>
  <cols>
    <col min="1" max="18" width="11" customWidth="1"/>
    <col min="19" max="20" width="11" hidden="1" customWidth="1"/>
    <col min="21" max="21" width="10.6640625" hidden="1" customWidth="1"/>
    <col min="22" max="16384" width="10.6640625" hidden="1"/>
  </cols>
  <sheetData>
    <row r="1" spans="2:2" x14ac:dyDescent="0.3"/>
    <row r="2" spans="2:2" x14ac:dyDescent="0.3"/>
    <row r="3" spans="2:2" x14ac:dyDescent="0.3"/>
    <row r="4" spans="2:2" x14ac:dyDescent="0.3"/>
    <row r="5" spans="2:2" x14ac:dyDescent="0.3"/>
    <row r="6" spans="2:2" x14ac:dyDescent="0.3"/>
    <row r="7" spans="2:2" x14ac:dyDescent="0.3"/>
    <row r="8" spans="2:2" x14ac:dyDescent="0.3"/>
    <row r="9" spans="2:2" x14ac:dyDescent="0.3"/>
    <row r="10" spans="2:2" x14ac:dyDescent="0.3"/>
    <row r="11" spans="2:2" ht="45" x14ac:dyDescent="0.9">
      <c r="B11" s="142" t="s">
        <v>0</v>
      </c>
    </row>
    <row r="12" spans="2:2" x14ac:dyDescent="0.3"/>
    <row r="13" spans="2:2" x14ac:dyDescent="0.3"/>
    <row r="14" spans="2:2" ht="25" x14ac:dyDescent="0.5">
      <c r="B14" s="11" t="s">
        <v>1</v>
      </c>
    </row>
    <row r="15" spans="2:2" x14ac:dyDescent="0.3"/>
    <row r="16" spans="2:2" ht="25" x14ac:dyDescent="0.5">
      <c r="B16" s="11" t="s">
        <v>2</v>
      </c>
    </row>
    <row r="17" spans="2:2" ht="25" x14ac:dyDescent="0.5">
      <c r="B17" s="12" t="s">
        <v>3</v>
      </c>
    </row>
    <row r="18" spans="2:2" ht="25" x14ac:dyDescent="0.5">
      <c r="B18" s="12"/>
    </row>
    <row r="19" spans="2:2" ht="25" x14ac:dyDescent="0.5">
      <c r="B19" s="11" t="s">
        <v>4</v>
      </c>
    </row>
    <row r="20" spans="2:2" ht="25" x14ac:dyDescent="0.5">
      <c r="B20" s="12" t="s">
        <v>5</v>
      </c>
    </row>
    <row r="21" spans="2:2" ht="25" x14ac:dyDescent="0.5">
      <c r="B21" s="12" t="s">
        <v>6</v>
      </c>
    </row>
    <row r="22" spans="2:2" ht="25" x14ac:dyDescent="0.5">
      <c r="B22" s="12" t="s">
        <v>7</v>
      </c>
    </row>
    <row r="23" spans="2:2" ht="25" x14ac:dyDescent="0.5">
      <c r="B23" s="12" t="s">
        <v>8</v>
      </c>
    </row>
    <row r="24" spans="2:2" ht="25" x14ac:dyDescent="0.5">
      <c r="B24" s="12" t="s">
        <v>9</v>
      </c>
    </row>
    <row r="25" spans="2:2" x14ac:dyDescent="0.3"/>
    <row r="26" spans="2:2" x14ac:dyDescent="0.3"/>
    <row r="27" spans="2:2" ht="25" x14ac:dyDescent="0.5">
      <c r="B27" s="11" t="s">
        <v>10</v>
      </c>
    </row>
    <row r="28" spans="2:2" ht="25" x14ac:dyDescent="0.5">
      <c r="B28" s="12" t="s">
        <v>11</v>
      </c>
    </row>
    <row r="29" spans="2:2" ht="25" x14ac:dyDescent="0.5">
      <c r="B29" s="12" t="s">
        <v>12</v>
      </c>
    </row>
    <row r="30" spans="2:2" x14ac:dyDescent="0.3"/>
    <row r="31" spans="2:2" ht="25" x14ac:dyDescent="0.5">
      <c r="B31" s="11" t="s">
        <v>13</v>
      </c>
    </row>
    <row r="32" spans="2:2" x14ac:dyDescent="0.3"/>
    <row r="33" spans="2:20" ht="25" x14ac:dyDescent="0.5">
      <c r="B33" s="11" t="s">
        <v>14</v>
      </c>
    </row>
    <row r="34" spans="2:20" x14ac:dyDescent="0.3"/>
    <row r="35" spans="2:20" x14ac:dyDescent="0.3"/>
    <row r="36" spans="2:20" x14ac:dyDescent="0.3"/>
    <row r="37" spans="2:20" ht="26" customHeight="1" x14ac:dyDescent="0.3">
      <c r="B37" s="340"/>
      <c r="C37" s="340"/>
      <c r="D37" s="340"/>
      <c r="E37" s="340"/>
      <c r="F37" s="340"/>
      <c r="G37" s="340"/>
      <c r="H37" s="340"/>
      <c r="I37" s="340"/>
      <c r="J37" s="340"/>
      <c r="K37" s="340"/>
      <c r="L37" s="340"/>
      <c r="M37" s="340"/>
      <c r="N37" s="340"/>
      <c r="O37" s="340"/>
      <c r="P37" s="340"/>
      <c r="Q37" s="340"/>
      <c r="R37" s="340"/>
      <c r="S37" s="340"/>
      <c r="T37" s="340"/>
    </row>
    <row r="38" spans="2:20" ht="29" customHeight="1" x14ac:dyDescent="0.3">
      <c r="B38" s="340"/>
      <c r="C38" s="340"/>
      <c r="D38" s="340"/>
      <c r="E38" s="340"/>
      <c r="F38" s="340"/>
      <c r="G38" s="340"/>
      <c r="H38" s="340"/>
      <c r="I38" s="340"/>
      <c r="J38" s="340"/>
      <c r="K38" s="340"/>
      <c r="L38" s="340"/>
      <c r="M38" s="340"/>
      <c r="N38" s="340"/>
      <c r="O38" s="340"/>
      <c r="P38" s="340"/>
      <c r="Q38" s="340"/>
      <c r="R38" s="340"/>
      <c r="S38" s="340"/>
      <c r="T38" s="340"/>
    </row>
    <row r="39" spans="2:20" ht="18.5" x14ac:dyDescent="0.45">
      <c r="B39" s="341"/>
      <c r="C39" s="341"/>
      <c r="D39" s="341"/>
      <c r="E39" s="341"/>
      <c r="F39" s="341"/>
      <c r="G39" s="341"/>
      <c r="H39" s="341"/>
      <c r="I39" s="341"/>
      <c r="J39" s="341"/>
      <c r="K39" s="341"/>
      <c r="L39" s="341"/>
      <c r="M39" s="341"/>
      <c r="N39" s="341"/>
      <c r="O39" s="341"/>
      <c r="P39" s="341"/>
      <c r="Q39" s="341"/>
      <c r="R39" s="341"/>
      <c r="S39" s="341"/>
      <c r="T39" s="341"/>
    </row>
    <row r="40" spans="2:20" x14ac:dyDescent="0.3"/>
  </sheetData>
  <mergeCells count="2">
    <mergeCell ref="B37:T38"/>
    <mergeCell ref="B39:T39"/>
  </mergeCells>
  <hyperlinks>
    <hyperlink ref="B14" location="Instrucciones!A1" display="Instrucciones" xr:uid="{6731192C-C91C-4C80-ACAA-E7CD11AC46FA}"/>
    <hyperlink ref="B16" location="Metodología!A1" display="Metodología " xr:uid="{739EAE58-B5F6-4326-831E-317D3AEE128E}"/>
    <hyperlink ref="B19" location="Input!A1" display="Inputs " xr:uid="{E56E22FE-DB9B-404D-97E1-C6DF3CF59D3A}"/>
    <hyperlink ref="B20" location="'Input-Ponderador riesgo'!A1" display="Ponderador de riesgo" xr:uid="{9C6868F7-5FB5-4BA7-A617-D25A7E6FB9FF}"/>
    <hyperlink ref="B21" location="'Input-Costos procedimientos'!A1" display="Costos de procedimientos" xr:uid="{C69B69FD-34C9-4AA1-940E-750E9E6364AA}"/>
    <hyperlink ref="B23" location="'Input-Costos tecnologías'!A1" display="Costos de tecnologías" xr:uid="{8324C731-C674-42DF-B625-C5B2D49FA4B7}"/>
    <hyperlink ref="B22" location="'Input-Costo complicaciones'!A1" display="Costo de complicaciones" xr:uid="{A2A93979-8826-4565-AD04-EE06AFEDC3C8}"/>
    <hyperlink ref="B24" location="'Factores modificadores'!A1" display="Factores modificadores de la enfermedad" xr:uid="{D9FA73E9-0E8C-4BB9-8380-D6B4A606134F}"/>
    <hyperlink ref="B28" location="'Resultados modelo bases'!A1" display="Costos de la enfermedad" xr:uid="{9EBC1217-2C4C-419A-93AF-A293FC9C2942}"/>
    <hyperlink ref="B33" location="'Referencias y ficha técnica'!A1" display="Ficha técnica" xr:uid="{9EA5D668-9908-43F8-B347-DFAC1F42D636}"/>
  </hyperlinks>
  <pageMargins left="3.5833333333333335E-2" right="0.7" top="3.125E-2" bottom="0.75" header="0.3" footer="0.3"/>
  <pageSetup paperSize="122" scale="43" fitToHeight="0" orientation="portrait" horizontalDpi="360" verticalDpi="360" r:id="rId1"/>
  <headerFooter>
    <oddHeader>&amp;C&amp;G</oddHeader>
    <oddFooter>&amp;R
&amp;1#&amp;"Calibri,Normal"&amp;22&amp;KFF8939 RESTRICTED</oddFooter>
  </headerFooter>
  <drawing r:id="rId2"/>
  <legacyDrawingHF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2EBE20-F5D8-4341-B858-A7B8291E0972}">
  <sheetPr>
    <tabColor theme="7" tint="0.79998168889431442"/>
  </sheetPr>
  <dimension ref="B6:P74"/>
  <sheetViews>
    <sheetView showGridLines="0" topLeftCell="A49" zoomScale="80" zoomScaleNormal="80" workbookViewId="0">
      <selection activeCell="B72" sqref="B72"/>
    </sheetView>
  </sheetViews>
  <sheetFormatPr baseColWidth="10" defaultColWidth="11" defaultRowHeight="14" x14ac:dyDescent="0.3"/>
  <cols>
    <col min="2" max="2" width="91.6640625" style="5" customWidth="1"/>
    <col min="3" max="3" width="48.83203125" style="5" bestFit="1" customWidth="1"/>
    <col min="4" max="4" width="55.5" style="5" customWidth="1"/>
    <col min="5" max="5" width="44.1640625" style="5" bestFit="1" customWidth="1"/>
    <col min="6" max="6" width="34.83203125" style="5" bestFit="1" customWidth="1"/>
    <col min="7" max="7" width="5.1640625" style="5" customWidth="1"/>
    <col min="8" max="8" width="88.1640625" style="5" customWidth="1"/>
    <col min="9" max="10" width="35.6640625" style="5" customWidth="1"/>
    <col min="11" max="11" width="35.6640625" customWidth="1"/>
    <col min="12" max="12" width="24.83203125" customWidth="1"/>
    <col min="13" max="13" width="3.1640625" customWidth="1"/>
    <col min="14" max="14" width="89.83203125" customWidth="1"/>
    <col min="15" max="15" width="30.33203125" bestFit="1" customWidth="1"/>
    <col min="16" max="16" width="22.1640625" bestFit="1" customWidth="1"/>
    <col min="17" max="17" width="32" bestFit="1" customWidth="1"/>
    <col min="18" max="18" width="33.1640625" bestFit="1" customWidth="1"/>
    <col min="19" max="19" width="34.1640625" bestFit="1" customWidth="1"/>
    <col min="20" max="20" width="34.5" bestFit="1" customWidth="1"/>
  </cols>
  <sheetData>
    <row r="6" spans="2:16" ht="14.5" thickBot="1" x14ac:dyDescent="0.35"/>
    <row r="7" spans="2:16" ht="36.5" thickBot="1" x14ac:dyDescent="0.55000000000000004">
      <c r="B7" s="389" t="s">
        <v>372</v>
      </c>
      <c r="C7" s="390"/>
      <c r="D7" s="390"/>
      <c r="E7" s="391"/>
      <c r="F7" s="91"/>
      <c r="G7" s="14"/>
      <c r="H7" s="74" t="s">
        <v>54</v>
      </c>
      <c r="I7" s="85" t="s">
        <v>37</v>
      </c>
      <c r="J7" s="85" t="s">
        <v>55</v>
      </c>
      <c r="K7" s="86" t="s">
        <v>39</v>
      </c>
      <c r="L7" s="91"/>
      <c r="M7" s="91"/>
      <c r="N7" s="91"/>
    </row>
    <row r="8" spans="2:16" ht="42.5" thickBot="1" x14ac:dyDescent="0.35">
      <c r="B8" s="131" t="s">
        <v>54</v>
      </c>
      <c r="C8" s="132" t="s">
        <v>37</v>
      </c>
      <c r="D8" s="132" t="s">
        <v>45</v>
      </c>
      <c r="E8" s="133" t="s">
        <v>39</v>
      </c>
      <c r="G8"/>
      <c r="H8" s="106"/>
      <c r="I8" s="107"/>
      <c r="J8" s="107"/>
      <c r="K8" s="108"/>
      <c r="L8" s="134" t="s">
        <v>373</v>
      </c>
      <c r="M8" s="5"/>
      <c r="N8" s="5"/>
      <c r="O8" s="109" t="s">
        <v>374</v>
      </c>
      <c r="P8" s="109" t="s">
        <v>375</v>
      </c>
    </row>
    <row r="9" spans="2:16" ht="23" x14ac:dyDescent="0.5">
      <c r="B9" s="43" t="s">
        <v>57</v>
      </c>
      <c r="C9" s="113" t="e">
        <f>SUM(C10:C18)</f>
        <v>#REF!</v>
      </c>
      <c r="D9" s="113" t="e">
        <f t="shared" ref="D9:E9" si="0">SUM(D10:D18)</f>
        <v>#REF!</v>
      </c>
      <c r="E9" s="123" t="e">
        <f t="shared" si="0"/>
        <v>#REF!</v>
      </c>
      <c r="F9" s="114"/>
      <c r="G9"/>
      <c r="H9" s="43" t="s">
        <v>57</v>
      </c>
      <c r="I9" s="90" t="e">
        <f>SUM(I10:I18)</f>
        <v>#REF!</v>
      </c>
      <c r="J9" s="90" t="e">
        <f>SUM(J10:J18)</f>
        <v>#REF!</v>
      </c>
      <c r="K9" s="90" t="e">
        <f t="shared" ref="K9" si="1">SUM(K10:K18)</f>
        <v>#REF!</v>
      </c>
      <c r="L9" s="102" t="e">
        <f>AVERAGE(I9:K9)</f>
        <v>#REF!</v>
      </c>
      <c r="M9" s="92"/>
      <c r="N9" s="392" t="s">
        <v>57</v>
      </c>
      <c r="O9" s="393"/>
    </row>
    <row r="10" spans="2:16" ht="20" x14ac:dyDescent="0.4">
      <c r="B10" s="88" t="s">
        <v>376</v>
      </c>
      <c r="C10" s="112">
        <f>I10*$O10</f>
        <v>9572418.4390243925</v>
      </c>
      <c r="D10" s="112">
        <f>J10*$O10</f>
        <v>1367488.3484320561</v>
      </c>
      <c r="E10" s="115">
        <f>K10*$O10</f>
        <v>0</v>
      </c>
      <c r="F10" s="116"/>
      <c r="G10"/>
      <c r="H10" s="88" t="s">
        <v>376</v>
      </c>
      <c r="I10" s="87">
        <f>Input!D30</f>
        <v>0.35</v>
      </c>
      <c r="J10" s="87">
        <f>Input!E30</f>
        <v>0.05</v>
      </c>
      <c r="K10" s="87">
        <f>Input!F30</f>
        <v>0</v>
      </c>
      <c r="L10" s="135">
        <f>100%-(L21+L43)</f>
        <v>0.375</v>
      </c>
      <c r="N10" s="88" t="s">
        <v>376</v>
      </c>
      <c r="O10" s="127">
        <v>27349766.968641121</v>
      </c>
      <c r="P10" s="126">
        <v>-0.957741125189144</v>
      </c>
    </row>
    <row r="11" spans="2:16" ht="20" x14ac:dyDescent="0.4">
      <c r="B11" s="88" t="s">
        <v>377</v>
      </c>
      <c r="C11" s="112">
        <f t="shared" ref="C11:C17" si="2">I11*$O11</f>
        <v>13275610.857142854</v>
      </c>
      <c r="D11" s="112">
        <f t="shared" ref="D11:D17" si="3">J11*$O11</f>
        <v>2655122.171428571</v>
      </c>
      <c r="E11" s="115">
        <f t="shared" ref="E11:E17" si="4">K11*$O11</f>
        <v>0</v>
      </c>
      <c r="F11" s="116"/>
      <c r="G11"/>
      <c r="H11" s="88" t="s">
        <v>377</v>
      </c>
      <c r="I11" s="87">
        <f>Input!D31</f>
        <v>0.25</v>
      </c>
      <c r="J11" s="87">
        <f>Input!E31</f>
        <v>0.05</v>
      </c>
      <c r="K11" s="87">
        <f>Input!F31</f>
        <v>0</v>
      </c>
      <c r="N11" s="88" t="s">
        <v>377</v>
      </c>
      <c r="O11" s="127">
        <v>53102443.428571418</v>
      </c>
      <c r="P11" s="126">
        <v>-0.40212549158911504</v>
      </c>
    </row>
    <row r="12" spans="2:16" ht="20" x14ac:dyDescent="0.4">
      <c r="B12" s="88" t="s">
        <v>378</v>
      </c>
      <c r="C12" s="112">
        <f t="shared" si="2"/>
        <v>33734304</v>
      </c>
      <c r="D12" s="112">
        <f t="shared" si="3"/>
        <v>0</v>
      </c>
      <c r="E12" s="115">
        <f t="shared" si="4"/>
        <v>0</v>
      </c>
      <c r="F12" s="116"/>
      <c r="G12"/>
      <c r="H12" s="88" t="s">
        <v>378</v>
      </c>
      <c r="I12" s="87">
        <f>Input!D32</f>
        <v>0.1</v>
      </c>
      <c r="J12" s="87">
        <f>Input!E32</f>
        <v>0</v>
      </c>
      <c r="K12" s="87">
        <f>Input!F32</f>
        <v>0</v>
      </c>
      <c r="N12" s="88" t="s">
        <v>378</v>
      </c>
      <c r="O12" s="127">
        <v>337343040</v>
      </c>
      <c r="P12" s="126">
        <v>-0.20529569462749542</v>
      </c>
    </row>
    <row r="13" spans="2:16" ht="20" x14ac:dyDescent="0.4">
      <c r="B13" s="88" t="s">
        <v>379</v>
      </c>
      <c r="C13" s="112">
        <f t="shared" si="2"/>
        <v>0</v>
      </c>
      <c r="D13" s="112">
        <f t="shared" si="3"/>
        <v>0</v>
      </c>
      <c r="E13" s="115">
        <f t="shared" si="4"/>
        <v>0</v>
      </c>
      <c r="F13" s="116"/>
      <c r="G13"/>
      <c r="H13" s="88" t="s">
        <v>379</v>
      </c>
      <c r="I13" s="87">
        <f>Input!D33</f>
        <v>0</v>
      </c>
      <c r="J13" s="87">
        <f>Input!E33</f>
        <v>0</v>
      </c>
      <c r="K13" s="87">
        <f>Input!F33</f>
        <v>0</v>
      </c>
      <c r="N13" s="88" t="s">
        <v>379</v>
      </c>
      <c r="O13" s="127">
        <v>4780834.725126476</v>
      </c>
    </row>
    <row r="14" spans="2:16" ht="20" x14ac:dyDescent="0.4">
      <c r="B14" s="88" t="s">
        <v>380</v>
      </c>
      <c r="C14" s="112">
        <f t="shared" si="2"/>
        <v>0</v>
      </c>
      <c r="D14" s="112">
        <f t="shared" si="3"/>
        <v>0</v>
      </c>
      <c r="E14" s="115">
        <f t="shared" si="4"/>
        <v>0</v>
      </c>
      <c r="F14" s="116"/>
      <c r="G14"/>
      <c r="H14" s="88" t="s">
        <v>380</v>
      </c>
      <c r="I14" s="87">
        <f>Input!D34</f>
        <v>0</v>
      </c>
      <c r="J14" s="87">
        <f>Input!E34</f>
        <v>0</v>
      </c>
      <c r="K14" s="87">
        <f>Input!F34</f>
        <v>0</v>
      </c>
      <c r="N14" s="88" t="s">
        <v>380</v>
      </c>
      <c r="O14" s="127">
        <v>6492001.8375124261</v>
      </c>
    </row>
    <row r="15" spans="2:16" ht="20" x14ac:dyDescent="0.4">
      <c r="B15" s="88" t="s">
        <v>381</v>
      </c>
      <c r="C15" s="112">
        <f t="shared" si="2"/>
        <v>16846508.483063947</v>
      </c>
      <c r="D15" s="112">
        <f t="shared" si="3"/>
        <v>0</v>
      </c>
      <c r="E15" s="115">
        <f t="shared" si="4"/>
        <v>0</v>
      </c>
      <c r="F15" s="116"/>
      <c r="G15"/>
      <c r="H15" s="88" t="s">
        <v>381</v>
      </c>
      <c r="I15" s="87">
        <f>Input!D35</f>
        <v>0.1</v>
      </c>
      <c r="J15" s="87">
        <f>Input!E35</f>
        <v>0</v>
      </c>
      <c r="K15" s="87">
        <f>Input!F35</f>
        <v>0</v>
      </c>
      <c r="N15" s="88" t="s">
        <v>381</v>
      </c>
      <c r="O15" s="127">
        <v>168465084.83063945</v>
      </c>
    </row>
    <row r="16" spans="2:16" ht="20" x14ac:dyDescent="0.4">
      <c r="B16" s="88" t="s">
        <v>314</v>
      </c>
      <c r="C16" s="112">
        <f t="shared" si="2"/>
        <v>0</v>
      </c>
      <c r="D16" s="112">
        <f t="shared" si="3"/>
        <v>657491457.59854805</v>
      </c>
      <c r="E16" s="115">
        <f t="shared" si="4"/>
        <v>255691122.39943534</v>
      </c>
      <c r="F16" s="116"/>
      <c r="G16"/>
      <c r="H16" s="88" t="s">
        <v>314</v>
      </c>
      <c r="I16" s="87">
        <f>Input!D36</f>
        <v>0</v>
      </c>
      <c r="J16" s="87">
        <f>Input!E36</f>
        <v>0.9</v>
      </c>
      <c r="K16" s="87">
        <f>Input!F36</f>
        <v>0.35</v>
      </c>
      <c r="N16" s="88" t="s">
        <v>314</v>
      </c>
      <c r="O16" s="127">
        <v>730546063.99838674</v>
      </c>
    </row>
    <row r="17" spans="2:15" ht="20" x14ac:dyDescent="0.4">
      <c r="B17" s="88" t="s">
        <v>61</v>
      </c>
      <c r="C17" s="112">
        <f t="shared" si="2"/>
        <v>0</v>
      </c>
      <c r="D17" s="112">
        <f t="shared" si="3"/>
        <v>31561595.000000007</v>
      </c>
      <c r="E17" s="115">
        <f t="shared" si="4"/>
        <v>23671196.250000004</v>
      </c>
      <c r="F17" s="116"/>
      <c r="G17"/>
      <c r="H17" s="88" t="s">
        <v>61</v>
      </c>
      <c r="I17" s="87">
        <f>Input!D37</f>
        <v>0</v>
      </c>
      <c r="J17" s="87">
        <f>Input!E37</f>
        <v>0.4</v>
      </c>
      <c r="K17" s="87">
        <f>Input!F37</f>
        <v>0.3</v>
      </c>
      <c r="N17" s="88" t="s">
        <v>61</v>
      </c>
      <c r="O17" s="127">
        <v>78903987.500000015</v>
      </c>
    </row>
    <row r="18" spans="2:15" ht="20" x14ac:dyDescent="0.4">
      <c r="B18" s="88" t="s">
        <v>58</v>
      </c>
      <c r="C18" s="112" t="e">
        <f>I18*$O18</f>
        <v>#REF!</v>
      </c>
      <c r="D18" s="112" t="e">
        <f>J18*$O18</f>
        <v>#REF!</v>
      </c>
      <c r="E18" s="115" t="e">
        <f>K18*$O18</f>
        <v>#REF!</v>
      </c>
      <c r="F18" s="116"/>
      <c r="G18"/>
      <c r="H18" s="88" t="s">
        <v>58</v>
      </c>
      <c r="I18" s="87" t="e">
        <f>Input!#REF!</f>
        <v>#REF!</v>
      </c>
      <c r="J18" s="87" t="e">
        <f>Input!#REF!</f>
        <v>#REF!</v>
      </c>
      <c r="K18" s="87" t="e">
        <f>Input!#REF!</f>
        <v>#REF!</v>
      </c>
      <c r="N18" s="88" t="s">
        <v>58</v>
      </c>
      <c r="O18" s="127">
        <v>258982621.09090906</v>
      </c>
    </row>
    <row r="19" spans="2:15" ht="20.5" customHeight="1" thickBot="1" x14ac:dyDescent="0.45">
      <c r="B19" s="89" t="s">
        <v>60</v>
      </c>
      <c r="C19" s="124"/>
      <c r="D19" s="124"/>
      <c r="E19" s="125"/>
      <c r="F19" s="116"/>
      <c r="G19"/>
      <c r="H19" s="89" t="s">
        <v>60</v>
      </c>
      <c r="I19" s="122"/>
      <c r="J19" s="122"/>
      <c r="K19" s="122"/>
      <c r="N19" s="89" t="s">
        <v>60</v>
      </c>
      <c r="O19" s="128">
        <v>64155721.142857134</v>
      </c>
    </row>
    <row r="20" spans="2:15" ht="23" x14ac:dyDescent="0.5">
      <c r="B20" s="103" t="s">
        <v>62</v>
      </c>
      <c r="C20" s="117" t="e">
        <f>SUM(C21:C41)</f>
        <v>#REF!</v>
      </c>
      <c r="D20" s="117" t="e">
        <f t="shared" ref="D20:E20" si="5">SUM(D21:D41)</f>
        <v>#REF!</v>
      </c>
      <c r="E20" s="117" t="e">
        <f t="shared" si="5"/>
        <v>#REF!</v>
      </c>
      <c r="F20" s="114"/>
      <c r="G20"/>
      <c r="H20" s="103" t="s">
        <v>62</v>
      </c>
      <c r="I20" s="104" t="e">
        <f>SUM(I21:I41)</f>
        <v>#REF!</v>
      </c>
      <c r="J20" s="104" t="e">
        <f t="shared" ref="J20:K20" si="6">SUM(J21:J41)</f>
        <v>#REF!</v>
      </c>
      <c r="K20" s="104" t="e">
        <f t="shared" si="6"/>
        <v>#REF!</v>
      </c>
      <c r="L20" s="102" t="e">
        <f>AVERAGE(I20:K20)</f>
        <v>#REF!</v>
      </c>
      <c r="M20" s="92"/>
      <c r="N20" s="394" t="s">
        <v>62</v>
      </c>
      <c r="O20" s="395"/>
    </row>
    <row r="21" spans="2:15" ht="20.5" customHeight="1" x14ac:dyDescent="0.4">
      <c r="B21" s="88" t="s">
        <v>382</v>
      </c>
      <c r="C21" s="112">
        <f>I21*$O21</f>
        <v>0</v>
      </c>
      <c r="D21" s="112">
        <f>J21*$O21</f>
        <v>12551400</v>
      </c>
      <c r="E21" s="115">
        <f>K21*$O21</f>
        <v>0</v>
      </c>
      <c r="F21" s="116"/>
      <c r="G21"/>
      <c r="H21" s="88" t="s">
        <v>382</v>
      </c>
      <c r="I21" s="87">
        <f>Input!D40</f>
        <v>0</v>
      </c>
      <c r="J21" s="87">
        <f>Input!E40</f>
        <v>0.25</v>
      </c>
      <c r="K21" s="87">
        <f>Input!F40</f>
        <v>0</v>
      </c>
      <c r="L21" s="135">
        <v>0.495</v>
      </c>
      <c r="M21" s="16"/>
      <c r="N21" s="88" t="s">
        <v>382</v>
      </c>
      <c r="O21" s="129">
        <v>50205600</v>
      </c>
    </row>
    <row r="22" spans="2:15" ht="20.5" customHeight="1" x14ac:dyDescent="0.4">
      <c r="B22" s="88" t="s">
        <v>383</v>
      </c>
      <c r="C22" s="112">
        <f t="shared" ref="C22:C41" si="7">I22*$O22</f>
        <v>0</v>
      </c>
      <c r="D22" s="112">
        <f t="shared" ref="D22:D41" si="8">J22*$O22</f>
        <v>1872000</v>
      </c>
      <c r="E22" s="115">
        <f t="shared" ref="E22:E41" si="9">K22*$O22</f>
        <v>0</v>
      </c>
      <c r="F22" s="116"/>
      <c r="G22"/>
      <c r="H22" s="88" t="s">
        <v>383</v>
      </c>
      <c r="I22" s="87">
        <f>Input!D41</f>
        <v>0</v>
      </c>
      <c r="J22" s="87">
        <f>Input!E41</f>
        <v>0.05</v>
      </c>
      <c r="K22" s="87">
        <f>Input!F41</f>
        <v>0</v>
      </c>
      <c r="N22" s="88" t="s">
        <v>383</v>
      </c>
      <c r="O22" s="129">
        <v>37440000</v>
      </c>
    </row>
    <row r="23" spans="2:15" ht="20.5" customHeight="1" x14ac:dyDescent="0.4">
      <c r="B23" s="88" t="s">
        <v>384</v>
      </c>
      <c r="C23" s="112">
        <f t="shared" si="7"/>
        <v>0</v>
      </c>
      <c r="D23" s="112">
        <f t="shared" si="8"/>
        <v>0</v>
      </c>
      <c r="E23" s="115">
        <f t="shared" si="9"/>
        <v>0</v>
      </c>
      <c r="F23" s="116"/>
      <c r="G23"/>
      <c r="H23" s="88" t="s">
        <v>384</v>
      </c>
      <c r="I23" s="87">
        <f>Input!D42</f>
        <v>0</v>
      </c>
      <c r="J23" s="87">
        <f>Input!E42</f>
        <v>0</v>
      </c>
      <c r="K23" s="87">
        <f>Input!F42</f>
        <v>0</v>
      </c>
      <c r="N23" s="88" t="s">
        <v>384</v>
      </c>
      <c r="O23" s="129">
        <v>140918831.10363391</v>
      </c>
    </row>
    <row r="24" spans="2:15" ht="20.5" customHeight="1" x14ac:dyDescent="0.4">
      <c r="B24" s="88" t="s">
        <v>385</v>
      </c>
      <c r="C24" s="112">
        <f t="shared" si="7"/>
        <v>0</v>
      </c>
      <c r="D24" s="112">
        <f t="shared" si="8"/>
        <v>0</v>
      </c>
      <c r="E24" s="115">
        <f t="shared" si="9"/>
        <v>0</v>
      </c>
      <c r="F24" s="116"/>
      <c r="G24"/>
      <c r="H24" s="88" t="s">
        <v>385</v>
      </c>
      <c r="I24" s="87">
        <f>Input!D43</f>
        <v>0</v>
      </c>
      <c r="J24" s="87">
        <f>Input!E43</f>
        <v>0</v>
      </c>
      <c r="K24" s="87">
        <f>Input!F43</f>
        <v>0</v>
      </c>
      <c r="N24" s="88" t="s">
        <v>385</v>
      </c>
      <c r="O24" s="129">
        <v>30960000</v>
      </c>
    </row>
    <row r="25" spans="2:15" ht="20.5" customHeight="1" x14ac:dyDescent="0.4">
      <c r="B25" s="88" t="s">
        <v>386</v>
      </c>
      <c r="C25" s="112">
        <f t="shared" si="7"/>
        <v>0</v>
      </c>
      <c r="D25" s="112">
        <f t="shared" si="8"/>
        <v>0</v>
      </c>
      <c r="E25" s="115">
        <f t="shared" si="9"/>
        <v>0</v>
      </c>
      <c r="F25" s="116"/>
      <c r="G25"/>
      <c r="H25" s="88" t="s">
        <v>386</v>
      </c>
      <c r="I25" s="87">
        <f>Input!D44</f>
        <v>0</v>
      </c>
      <c r="J25" s="87">
        <f>Input!E44</f>
        <v>0</v>
      </c>
      <c r="K25" s="87">
        <f>Input!F44</f>
        <v>0</v>
      </c>
      <c r="N25" s="88" t="s">
        <v>386</v>
      </c>
      <c r="O25" s="129">
        <v>228219300</v>
      </c>
    </row>
    <row r="26" spans="2:15" ht="20.5" customHeight="1" x14ac:dyDescent="0.4">
      <c r="B26" s="88" t="s">
        <v>387</v>
      </c>
      <c r="C26" s="112">
        <f t="shared" si="7"/>
        <v>0</v>
      </c>
      <c r="D26" s="112">
        <f t="shared" si="8"/>
        <v>0</v>
      </c>
      <c r="E26" s="115">
        <f t="shared" si="9"/>
        <v>4755708</v>
      </c>
      <c r="F26" s="116"/>
      <c r="G26"/>
      <c r="H26" s="88" t="s">
        <v>387</v>
      </c>
      <c r="I26" s="87">
        <f>Input!D45</f>
        <v>0</v>
      </c>
      <c r="J26" s="87">
        <f>Input!E45</f>
        <v>0</v>
      </c>
      <c r="K26" s="87">
        <f>Input!F45</f>
        <v>0.05</v>
      </c>
      <c r="N26" s="88" t="s">
        <v>387</v>
      </c>
      <c r="O26" s="129">
        <v>95114160</v>
      </c>
    </row>
    <row r="27" spans="2:15" ht="20.5" customHeight="1" x14ac:dyDescent="0.4">
      <c r="B27" s="88" t="s">
        <v>388</v>
      </c>
      <c r="C27" s="112">
        <f t="shared" si="7"/>
        <v>0</v>
      </c>
      <c r="D27" s="112">
        <f t="shared" si="8"/>
        <v>0</v>
      </c>
      <c r="E27" s="115">
        <f t="shared" si="9"/>
        <v>0</v>
      </c>
      <c r="F27" s="116"/>
      <c r="G27"/>
      <c r="H27" s="88" t="s">
        <v>388</v>
      </c>
      <c r="I27" s="87">
        <f>Input!D46</f>
        <v>0</v>
      </c>
      <c r="J27" s="87">
        <f>Input!E46</f>
        <v>0</v>
      </c>
      <c r="K27" s="87">
        <f>Input!F46</f>
        <v>0</v>
      </c>
      <c r="N27" s="88" t="s">
        <v>388</v>
      </c>
      <c r="O27" s="129">
        <v>72140377.846153855</v>
      </c>
    </row>
    <row r="28" spans="2:15" ht="20.5" customHeight="1" x14ac:dyDescent="0.4">
      <c r="B28" s="88" t="s">
        <v>389</v>
      </c>
      <c r="C28" s="112">
        <f t="shared" si="7"/>
        <v>0</v>
      </c>
      <c r="D28" s="112">
        <f t="shared" si="8"/>
        <v>0</v>
      </c>
      <c r="E28" s="115">
        <f t="shared" si="9"/>
        <v>0</v>
      </c>
      <c r="F28" s="116"/>
      <c r="G28"/>
      <c r="H28" s="88" t="s">
        <v>389</v>
      </c>
      <c r="I28" s="87">
        <f>Input!D47</f>
        <v>0</v>
      </c>
      <c r="J28" s="87">
        <f>Input!E47</f>
        <v>0</v>
      </c>
      <c r="K28" s="87">
        <f>Input!F47</f>
        <v>0</v>
      </c>
      <c r="N28" s="88" t="s">
        <v>389</v>
      </c>
      <c r="O28" s="129">
        <v>59374777.846153848</v>
      </c>
    </row>
    <row r="29" spans="2:15" ht="20.5" customHeight="1" x14ac:dyDescent="0.4">
      <c r="B29" s="88" t="s">
        <v>390</v>
      </c>
      <c r="C29" s="112">
        <f t="shared" si="7"/>
        <v>0</v>
      </c>
      <c r="D29" s="112">
        <f t="shared" si="8"/>
        <v>0</v>
      </c>
      <c r="E29" s="115">
        <f t="shared" si="9"/>
        <v>105854845.81736206</v>
      </c>
      <c r="F29" s="116"/>
      <c r="G29"/>
      <c r="H29" s="88" t="s">
        <v>390</v>
      </c>
      <c r="I29" s="87">
        <f>Input!D48</f>
        <v>0</v>
      </c>
      <c r="J29" s="87">
        <f>Input!E48</f>
        <v>0</v>
      </c>
      <c r="K29" s="87">
        <f>Input!F48</f>
        <v>0.65</v>
      </c>
      <c r="N29" s="88" t="s">
        <v>390</v>
      </c>
      <c r="O29" s="129">
        <v>162853608.94978777</v>
      </c>
    </row>
    <row r="30" spans="2:15" ht="20.5" customHeight="1" x14ac:dyDescent="0.4">
      <c r="B30" s="88" t="s">
        <v>391</v>
      </c>
      <c r="C30" s="112">
        <f t="shared" si="7"/>
        <v>0</v>
      </c>
      <c r="D30" s="112">
        <f t="shared" si="8"/>
        <v>0</v>
      </c>
      <c r="E30" s="115">
        <f t="shared" si="9"/>
        <v>5289477.7846153853</v>
      </c>
      <c r="F30" s="116"/>
      <c r="G30"/>
      <c r="H30" s="88" t="s">
        <v>391</v>
      </c>
      <c r="I30" s="87">
        <f>Input!D51</f>
        <v>0</v>
      </c>
      <c r="J30" s="87">
        <f>Input!E51</f>
        <v>0</v>
      </c>
      <c r="K30" s="87">
        <f>Input!F51</f>
        <v>0.1</v>
      </c>
      <c r="N30" s="88" t="s">
        <v>391</v>
      </c>
      <c r="O30" s="129">
        <v>52894777.846153848</v>
      </c>
    </row>
    <row r="31" spans="2:15" ht="20.5" customHeight="1" x14ac:dyDescent="0.4">
      <c r="B31" s="88" t="s">
        <v>392</v>
      </c>
      <c r="C31" s="112">
        <f t="shared" si="7"/>
        <v>0</v>
      </c>
      <c r="D31" s="112">
        <f t="shared" si="8"/>
        <v>0</v>
      </c>
      <c r="E31" s="115">
        <f t="shared" si="9"/>
        <v>25015407.784615386</v>
      </c>
      <c r="F31" s="116"/>
      <c r="G31"/>
      <c r="H31" s="88" t="s">
        <v>392</v>
      </c>
      <c r="I31" s="87">
        <f>Input!D52</f>
        <v>0</v>
      </c>
      <c r="J31" s="87">
        <f>Input!E52</f>
        <v>0</v>
      </c>
      <c r="K31" s="87">
        <f>Input!F52</f>
        <v>0.1</v>
      </c>
      <c r="N31" s="88" t="s">
        <v>392</v>
      </c>
      <c r="O31" s="129">
        <v>250154077.84615386</v>
      </c>
    </row>
    <row r="32" spans="2:15" ht="20.5" customHeight="1" x14ac:dyDescent="0.4">
      <c r="B32" s="88" t="s">
        <v>393</v>
      </c>
      <c r="C32" s="112">
        <f t="shared" si="7"/>
        <v>0</v>
      </c>
      <c r="D32" s="112">
        <f t="shared" si="8"/>
        <v>0</v>
      </c>
      <c r="E32" s="115">
        <f t="shared" si="9"/>
        <v>0</v>
      </c>
      <c r="F32" s="116"/>
      <c r="G32"/>
      <c r="H32" s="88" t="s">
        <v>393</v>
      </c>
      <c r="I32" s="87">
        <f>Input!D53</f>
        <v>0</v>
      </c>
      <c r="J32" s="87">
        <f>Input!E53</f>
        <v>0</v>
      </c>
      <c r="K32" s="87">
        <f>Input!F53</f>
        <v>0</v>
      </c>
      <c r="N32" s="88" t="s">
        <v>393</v>
      </c>
      <c r="O32" s="129">
        <v>117048937.84615386</v>
      </c>
    </row>
    <row r="33" spans="2:15" ht="20.5" customHeight="1" x14ac:dyDescent="0.4">
      <c r="B33" s="88" t="s">
        <v>394</v>
      </c>
      <c r="C33" s="112">
        <f t="shared" si="7"/>
        <v>0</v>
      </c>
      <c r="D33" s="112">
        <f t="shared" si="8"/>
        <v>0</v>
      </c>
      <c r="E33" s="115">
        <f t="shared" si="9"/>
        <v>18791712</v>
      </c>
      <c r="F33" s="116"/>
      <c r="G33"/>
      <c r="H33" s="88" t="s">
        <v>394</v>
      </c>
      <c r="I33" s="87">
        <f>Input!D54</f>
        <v>0</v>
      </c>
      <c r="J33" s="87">
        <f>Input!E54</f>
        <v>0</v>
      </c>
      <c r="K33" s="87">
        <f>Input!F54</f>
        <v>0.1</v>
      </c>
      <c r="N33" s="88" t="s">
        <v>394</v>
      </c>
      <c r="O33" s="129">
        <v>187917120</v>
      </c>
    </row>
    <row r="34" spans="2:15" ht="20.5" customHeight="1" x14ac:dyDescent="0.4">
      <c r="B34" s="88" t="s">
        <v>395</v>
      </c>
      <c r="C34" s="112">
        <f t="shared" si="7"/>
        <v>0</v>
      </c>
      <c r="D34" s="112">
        <f t="shared" si="8"/>
        <v>0</v>
      </c>
      <c r="E34" s="115">
        <f t="shared" si="9"/>
        <v>5254545.5999999996</v>
      </c>
      <c r="F34" s="116"/>
      <c r="G34"/>
      <c r="H34" s="88" t="s">
        <v>395</v>
      </c>
      <c r="I34" s="87">
        <f>Input!D55</f>
        <v>0</v>
      </c>
      <c r="J34" s="87">
        <f>Input!E55</f>
        <v>0</v>
      </c>
      <c r="K34" s="87">
        <f>Input!F55</f>
        <v>0.03</v>
      </c>
      <c r="N34" s="88" t="s">
        <v>395</v>
      </c>
      <c r="O34" s="129">
        <v>175151520</v>
      </c>
    </row>
    <row r="35" spans="2:15" ht="20.5" customHeight="1" x14ac:dyDescent="0.4">
      <c r="B35" s="88" t="s">
        <v>396</v>
      </c>
      <c r="C35" s="112">
        <f t="shared" si="7"/>
        <v>0</v>
      </c>
      <c r="D35" s="112">
        <f t="shared" si="8"/>
        <v>0</v>
      </c>
      <c r="E35" s="115">
        <f t="shared" si="9"/>
        <v>11145214.044145355</v>
      </c>
      <c r="F35" s="116"/>
      <c r="G35"/>
      <c r="H35" s="88" t="s">
        <v>396</v>
      </c>
      <c r="I35" s="87">
        <f>Input!D56</f>
        <v>0</v>
      </c>
      <c r="J35" s="87">
        <f>Input!E56</f>
        <v>0</v>
      </c>
      <c r="K35" s="87">
        <f>Input!F56</f>
        <v>0.04</v>
      </c>
      <c r="N35" s="88" t="s">
        <v>396</v>
      </c>
      <c r="O35" s="129">
        <v>278630351.10363388</v>
      </c>
    </row>
    <row r="36" spans="2:15" ht="20.5" customHeight="1" x14ac:dyDescent="0.4">
      <c r="B36" s="88" t="s">
        <v>397</v>
      </c>
      <c r="C36" s="112" t="e">
        <f t="shared" si="7"/>
        <v>#REF!</v>
      </c>
      <c r="D36" s="112" t="e">
        <f t="shared" si="8"/>
        <v>#REF!</v>
      </c>
      <c r="E36" s="115" t="e">
        <f t="shared" si="9"/>
        <v>#REF!</v>
      </c>
      <c r="F36" s="116"/>
      <c r="G36"/>
      <c r="H36" s="88" t="s">
        <v>397</v>
      </c>
      <c r="I36" s="87" t="e">
        <f>Input!#REF!</f>
        <v>#REF!</v>
      </c>
      <c r="J36" s="87" t="e">
        <f>Input!#REF!</f>
        <v>#REF!</v>
      </c>
      <c r="K36" s="87" t="e">
        <f>Input!#REF!</f>
        <v>#REF!</v>
      </c>
      <c r="N36" s="88" t="s">
        <v>397</v>
      </c>
      <c r="O36" s="129">
        <v>168671520</v>
      </c>
    </row>
    <row r="37" spans="2:15" ht="20.5" customHeight="1" x14ac:dyDescent="0.4">
      <c r="B37" s="88" t="s">
        <v>398</v>
      </c>
      <c r="C37" s="112" t="e">
        <f t="shared" si="7"/>
        <v>#REF!</v>
      </c>
      <c r="D37" s="112" t="e">
        <f t="shared" si="8"/>
        <v>#REF!</v>
      </c>
      <c r="E37" s="115" t="e">
        <f t="shared" si="9"/>
        <v>#REF!</v>
      </c>
      <c r="F37" s="116"/>
      <c r="G37"/>
      <c r="H37" s="88" t="s">
        <v>398</v>
      </c>
      <c r="I37" s="87" t="e">
        <f>Input!#REF!</f>
        <v>#REF!</v>
      </c>
      <c r="J37" s="87" t="e">
        <f>Input!#REF!</f>
        <v>#REF!</v>
      </c>
      <c r="K37" s="87" t="e">
        <f>Input!#REF!</f>
        <v>#REF!</v>
      </c>
      <c r="N37" s="88" t="s">
        <v>398</v>
      </c>
      <c r="O37" s="129">
        <v>365930820</v>
      </c>
    </row>
    <row r="38" spans="2:15" ht="20.5" customHeight="1" x14ac:dyDescent="0.4">
      <c r="B38" s="88" t="s">
        <v>399</v>
      </c>
      <c r="C38" s="112" t="e">
        <f t="shared" si="7"/>
        <v>#REF!</v>
      </c>
      <c r="D38" s="112" t="e">
        <f t="shared" si="8"/>
        <v>#REF!</v>
      </c>
      <c r="E38" s="115" t="e">
        <f t="shared" si="9"/>
        <v>#REF!</v>
      </c>
      <c r="F38" s="116"/>
      <c r="G38"/>
      <c r="H38" s="88" t="s">
        <v>399</v>
      </c>
      <c r="I38" s="87" t="e">
        <f>Input!#REF!</f>
        <v>#REF!</v>
      </c>
      <c r="J38" s="87" t="e">
        <f>Input!#REF!</f>
        <v>#REF!</v>
      </c>
      <c r="K38" s="87" t="e">
        <f>Input!#REF!</f>
        <v>#REF!</v>
      </c>
      <c r="N38" s="88" t="s">
        <v>399</v>
      </c>
      <c r="O38" s="129">
        <v>232825680</v>
      </c>
    </row>
    <row r="39" spans="2:15" ht="20.5" customHeight="1" x14ac:dyDescent="0.4">
      <c r="B39" s="88" t="s">
        <v>400</v>
      </c>
      <c r="C39" s="112">
        <f t="shared" si="7"/>
        <v>109958831.10363391</v>
      </c>
      <c r="D39" s="112">
        <f t="shared" si="8"/>
        <v>109958831.10363391</v>
      </c>
      <c r="E39" s="115">
        <f t="shared" si="9"/>
        <v>109958831.10363391</v>
      </c>
      <c r="F39" s="116"/>
      <c r="G39"/>
      <c r="H39" s="88" t="s">
        <v>400</v>
      </c>
      <c r="I39" s="87">
        <f>Input!D57</f>
        <v>1</v>
      </c>
      <c r="J39" s="87">
        <f>Input!E57</f>
        <v>1</v>
      </c>
      <c r="K39" s="87">
        <f>Input!F57</f>
        <v>1</v>
      </c>
      <c r="N39" s="88" t="s">
        <v>400</v>
      </c>
      <c r="O39" s="129">
        <v>109958831.10363391</v>
      </c>
    </row>
    <row r="40" spans="2:15" ht="20.5" customHeight="1" x14ac:dyDescent="0.4">
      <c r="B40" s="88" t="s">
        <v>401</v>
      </c>
      <c r="C40" s="112" t="e">
        <f t="shared" si="7"/>
        <v>#REF!</v>
      </c>
      <c r="D40" s="112" t="e">
        <f t="shared" si="8"/>
        <v>#REF!</v>
      </c>
      <c r="E40" s="115" t="e">
        <f t="shared" si="9"/>
        <v>#REF!</v>
      </c>
      <c r="F40" s="116"/>
      <c r="G40"/>
      <c r="H40" s="88" t="s">
        <v>401</v>
      </c>
      <c r="I40" s="87" t="e">
        <f>Input!#REF!</f>
        <v>#REF!</v>
      </c>
      <c r="J40" s="87" t="e">
        <f>Input!#REF!</f>
        <v>#REF!</v>
      </c>
      <c r="K40" s="87" t="e">
        <f>Input!#REF!</f>
        <v>#REF!</v>
      </c>
      <c r="N40" s="88" t="s">
        <v>401</v>
      </c>
      <c r="O40" s="129">
        <v>307218131.10363388</v>
      </c>
    </row>
    <row r="41" spans="2:15" ht="20.5" customHeight="1" thickBot="1" x14ac:dyDescent="0.45">
      <c r="B41" s="89" t="s">
        <v>402</v>
      </c>
      <c r="C41" s="112" t="e">
        <f t="shared" si="7"/>
        <v>#REF!</v>
      </c>
      <c r="D41" s="112" t="e">
        <f t="shared" si="8"/>
        <v>#REF!</v>
      </c>
      <c r="E41" s="115" t="e">
        <f t="shared" si="9"/>
        <v>#REF!</v>
      </c>
      <c r="F41" s="116"/>
      <c r="G41"/>
      <c r="H41" s="89" t="s">
        <v>402</v>
      </c>
      <c r="I41" s="87" t="e">
        <f>Input!#REF!</f>
        <v>#REF!</v>
      </c>
      <c r="J41" s="87" t="e">
        <f>Input!#REF!</f>
        <v>#REF!</v>
      </c>
      <c r="K41" s="87" t="e">
        <f>Input!#REF!</f>
        <v>#REF!</v>
      </c>
      <c r="N41" s="89" t="s">
        <v>402</v>
      </c>
      <c r="O41" s="130">
        <v>174112991.10363391</v>
      </c>
    </row>
    <row r="42" spans="2:15" ht="23" x14ac:dyDescent="0.5">
      <c r="B42" s="103" t="s">
        <v>73</v>
      </c>
      <c r="C42" s="117" t="e">
        <f>SUM(C43:C69)</f>
        <v>#REF!</v>
      </c>
      <c r="D42" s="117" t="e">
        <f t="shared" ref="D42:E42" si="10">SUM(D43:D69)</f>
        <v>#REF!</v>
      </c>
      <c r="E42" s="117" t="e">
        <f t="shared" si="10"/>
        <v>#REF!</v>
      </c>
      <c r="F42" s="114"/>
      <c r="G42"/>
      <c r="H42" s="103" t="s">
        <v>73</v>
      </c>
      <c r="I42" s="104" t="e">
        <f>SUM(I43:I69)</f>
        <v>#REF!</v>
      </c>
      <c r="J42" s="104" t="e">
        <f t="shared" ref="J42" si="11">SUM(J43:J69)</f>
        <v>#REF!</v>
      </c>
      <c r="K42" s="104" t="e">
        <f>SUM(K43:K69)</f>
        <v>#REF!</v>
      </c>
      <c r="L42" s="102" t="e">
        <f>AVERAGE(I42:K42)</f>
        <v>#REF!</v>
      </c>
      <c r="M42" s="92"/>
      <c r="N42" s="103" t="s">
        <v>73</v>
      </c>
      <c r="O42" s="105"/>
    </row>
    <row r="43" spans="2:15" ht="20.5" customHeight="1" x14ac:dyDescent="0.4">
      <c r="B43" s="88" t="s">
        <v>403</v>
      </c>
      <c r="C43" s="112" t="e">
        <f>I43*$O43</f>
        <v>#REF!</v>
      </c>
      <c r="D43" s="112" t="e">
        <f t="shared" ref="D43:E43" si="12">J43*$O43</f>
        <v>#REF!</v>
      </c>
      <c r="E43" s="112" t="e">
        <f t="shared" si="12"/>
        <v>#REF!</v>
      </c>
      <c r="F43" s="116"/>
      <c r="G43"/>
      <c r="H43" s="88" t="s">
        <v>403</v>
      </c>
      <c r="I43" s="87" t="e">
        <f>Input!#REF!</f>
        <v>#REF!</v>
      </c>
      <c r="J43" s="87" t="e">
        <f>Input!#REF!</f>
        <v>#REF!</v>
      </c>
      <c r="K43" s="87" t="e">
        <f>Input!#REF!</f>
        <v>#REF!</v>
      </c>
      <c r="L43" s="135">
        <v>0.13</v>
      </c>
      <c r="N43" s="88" t="s">
        <v>403</v>
      </c>
      <c r="O43" s="129">
        <v>607725740.88095236</v>
      </c>
    </row>
    <row r="44" spans="2:15" ht="20.5" customHeight="1" x14ac:dyDescent="0.4">
      <c r="B44" s="88" t="s">
        <v>404</v>
      </c>
      <c r="C44" s="112" t="e">
        <f t="shared" ref="C44:C69" si="13">I44*$O44</f>
        <v>#REF!</v>
      </c>
      <c r="D44" s="112" t="e">
        <f t="shared" ref="D44:D69" si="14">J44*$O44</f>
        <v>#REF!</v>
      </c>
      <c r="E44" s="112" t="e">
        <f t="shared" ref="E44:E69" si="15">K44*$O44</f>
        <v>#REF!</v>
      </c>
      <c r="F44" s="116"/>
      <c r="G44"/>
      <c r="H44" s="88" t="s">
        <v>404</v>
      </c>
      <c r="I44" s="87" t="e">
        <f>Input!#REF!</f>
        <v>#REF!</v>
      </c>
      <c r="J44" s="87" t="e">
        <f>Input!#REF!</f>
        <v>#REF!</v>
      </c>
      <c r="K44" s="87" t="e">
        <f>Input!#REF!</f>
        <v>#REF!</v>
      </c>
      <c r="N44" s="88" t="s">
        <v>404</v>
      </c>
      <c r="O44" s="129">
        <v>594960140.88095236</v>
      </c>
    </row>
    <row r="45" spans="2:15" ht="20.5" customHeight="1" x14ac:dyDescent="0.4">
      <c r="B45" s="88" t="s">
        <v>405</v>
      </c>
      <c r="C45" s="112" t="e">
        <f t="shared" si="13"/>
        <v>#REF!</v>
      </c>
      <c r="D45" s="112" t="e">
        <f t="shared" si="14"/>
        <v>#REF!</v>
      </c>
      <c r="E45" s="112" t="e">
        <f t="shared" si="15"/>
        <v>#REF!</v>
      </c>
      <c r="F45" s="116"/>
      <c r="G45"/>
      <c r="H45" s="88" t="s">
        <v>405</v>
      </c>
      <c r="I45" s="87" t="e">
        <f>Input!#REF!</f>
        <v>#REF!</v>
      </c>
      <c r="J45" s="87" t="e">
        <f>Input!#REF!</f>
        <v>#REF!</v>
      </c>
      <c r="K45" s="87" t="e">
        <f>Input!#REF!</f>
        <v>#REF!</v>
      </c>
      <c r="N45" s="88" t="s">
        <v>405</v>
      </c>
      <c r="O45" s="129">
        <v>247464900</v>
      </c>
    </row>
    <row r="46" spans="2:15" ht="20.5" customHeight="1" x14ac:dyDescent="0.4">
      <c r="B46" s="88" t="s">
        <v>406</v>
      </c>
      <c r="C46" s="112" t="e">
        <f t="shared" si="13"/>
        <v>#REF!</v>
      </c>
      <c r="D46" s="112" t="e">
        <f t="shared" si="14"/>
        <v>#REF!</v>
      </c>
      <c r="E46" s="112" t="e">
        <f t="shared" si="15"/>
        <v>#REF!</v>
      </c>
      <c r="F46" s="116"/>
      <c r="G46"/>
      <c r="H46" s="88" t="s">
        <v>406</v>
      </c>
      <c r="I46" s="87" t="e">
        <f>Input!#REF!</f>
        <v>#REF!</v>
      </c>
      <c r="J46" s="87" t="e">
        <f>Input!#REF!</f>
        <v>#REF!</v>
      </c>
      <c r="K46" s="87" t="e">
        <f>Input!#REF!</f>
        <v>#REF!</v>
      </c>
      <c r="N46" s="88" t="s">
        <v>406</v>
      </c>
      <c r="O46" s="129">
        <v>234699300</v>
      </c>
    </row>
    <row r="47" spans="2:15" ht="20.5" customHeight="1" x14ac:dyDescent="0.4">
      <c r="B47" s="88" t="s">
        <v>407</v>
      </c>
      <c r="C47" s="112" t="e">
        <f t="shared" si="13"/>
        <v>#REF!</v>
      </c>
      <c r="D47" s="112" t="e">
        <f t="shared" si="14"/>
        <v>#REF!</v>
      </c>
      <c r="E47" s="112" t="e">
        <f t="shared" si="15"/>
        <v>#REF!</v>
      </c>
      <c r="F47" s="116"/>
      <c r="G47"/>
      <c r="H47" s="88" t="s">
        <v>407</v>
      </c>
      <c r="I47" s="87" t="e">
        <f>Input!#REF!</f>
        <v>#REF!</v>
      </c>
      <c r="J47" s="87" t="e">
        <f>Input!#REF!</f>
        <v>#REF!</v>
      </c>
      <c r="K47" s="87" t="e">
        <f>Input!#REF!</f>
        <v>#REF!</v>
      </c>
      <c r="N47" s="88" t="s">
        <v>407</v>
      </c>
      <c r="O47" s="129">
        <v>114359760</v>
      </c>
    </row>
    <row r="48" spans="2:15" ht="20.5" customHeight="1" x14ac:dyDescent="0.4">
      <c r="B48" s="88" t="s">
        <v>408</v>
      </c>
      <c r="C48" s="112" t="e">
        <f t="shared" si="13"/>
        <v>#REF!</v>
      </c>
      <c r="D48" s="112" t="e">
        <f t="shared" si="14"/>
        <v>#REF!</v>
      </c>
      <c r="E48" s="112" t="e">
        <f t="shared" si="15"/>
        <v>#REF!</v>
      </c>
      <c r="F48" s="116"/>
      <c r="G48"/>
      <c r="H48" s="88" t="s">
        <v>408</v>
      </c>
      <c r="I48" s="87" t="e">
        <f>Input!#REF!</f>
        <v>#REF!</v>
      </c>
      <c r="J48" s="87" t="e">
        <f>Input!#REF!</f>
        <v>#REF!</v>
      </c>
      <c r="K48" s="87" t="e">
        <f>Input!#REF!</f>
        <v>#REF!</v>
      </c>
      <c r="N48" s="88" t="s">
        <v>408</v>
      </c>
      <c r="O48" s="129">
        <v>101594160</v>
      </c>
    </row>
    <row r="49" spans="2:15" ht="20.5" customHeight="1" x14ac:dyDescent="0.4">
      <c r="B49" s="88" t="s">
        <v>409</v>
      </c>
      <c r="C49" s="112" t="e">
        <f t="shared" si="13"/>
        <v>#REF!</v>
      </c>
      <c r="D49" s="112" t="e">
        <f t="shared" si="14"/>
        <v>#REF!</v>
      </c>
      <c r="E49" s="112" t="e">
        <f t="shared" si="15"/>
        <v>#REF!</v>
      </c>
      <c r="F49" s="116"/>
      <c r="G49"/>
      <c r="H49" s="88" t="s">
        <v>409</v>
      </c>
      <c r="I49" s="87" t="e">
        <f>Input!#REF!</f>
        <v>#REF!</v>
      </c>
      <c r="J49" s="87" t="e">
        <f>Input!#REF!</f>
        <v>#REF!</v>
      </c>
      <c r="K49" s="87" t="e">
        <f>Input!#REF!</f>
        <v>#REF!</v>
      </c>
      <c r="N49" s="88" t="s">
        <v>409</v>
      </c>
      <c r="O49" s="129">
        <v>629660518.72710621</v>
      </c>
    </row>
    <row r="50" spans="2:15" ht="20.5" customHeight="1" x14ac:dyDescent="0.4">
      <c r="B50" s="88" t="s">
        <v>410</v>
      </c>
      <c r="C50" s="112" t="e">
        <f t="shared" si="13"/>
        <v>#REF!</v>
      </c>
      <c r="D50" s="112" t="e">
        <f t="shared" si="14"/>
        <v>#REF!</v>
      </c>
      <c r="E50" s="112" t="e">
        <f t="shared" si="15"/>
        <v>#REF!</v>
      </c>
      <c r="F50" s="116"/>
      <c r="G50"/>
      <c r="H50" s="88" t="s">
        <v>410</v>
      </c>
      <c r="I50" s="87" t="e">
        <f>Input!#REF!</f>
        <v>#REF!</v>
      </c>
      <c r="J50" s="87" t="e">
        <f>Input!#REF!</f>
        <v>#REF!</v>
      </c>
      <c r="K50" s="87" t="e">
        <f>Input!#REF!</f>
        <v>#REF!</v>
      </c>
      <c r="N50" s="88" t="s">
        <v>410</v>
      </c>
      <c r="O50" s="129">
        <v>616894918.72710621</v>
      </c>
    </row>
    <row r="51" spans="2:15" ht="20.5" customHeight="1" x14ac:dyDescent="0.4">
      <c r="B51" s="88" t="s">
        <v>411</v>
      </c>
      <c r="C51" s="112" t="e">
        <f t="shared" si="13"/>
        <v>#REF!</v>
      </c>
      <c r="D51" s="112" t="e">
        <f t="shared" si="14"/>
        <v>#REF!</v>
      </c>
      <c r="E51" s="112" t="e">
        <f t="shared" si="15"/>
        <v>#REF!</v>
      </c>
      <c r="F51" s="116"/>
      <c r="G51"/>
      <c r="H51" s="88" t="s">
        <v>411</v>
      </c>
      <c r="I51" s="87" t="e">
        <f>Input!#REF!</f>
        <v>#REF!</v>
      </c>
      <c r="J51" s="87" t="e">
        <f>Input!#REF!</f>
        <v>#REF!</v>
      </c>
      <c r="K51" s="87" t="e">
        <f>Input!#REF!</f>
        <v>#REF!</v>
      </c>
      <c r="N51" s="88" t="s">
        <v>411</v>
      </c>
      <c r="O51" s="129">
        <v>269399677.84615386</v>
      </c>
    </row>
    <row r="52" spans="2:15" ht="20.5" customHeight="1" x14ac:dyDescent="0.4">
      <c r="B52" s="88" t="s">
        <v>412</v>
      </c>
      <c r="C52" s="112" t="e">
        <f t="shared" si="13"/>
        <v>#REF!</v>
      </c>
      <c r="D52" s="112" t="e">
        <f t="shared" si="14"/>
        <v>#REF!</v>
      </c>
      <c r="E52" s="112" t="e">
        <f t="shared" si="15"/>
        <v>#REF!</v>
      </c>
      <c r="F52" s="116"/>
      <c r="G52"/>
      <c r="H52" s="88" t="s">
        <v>412</v>
      </c>
      <c r="I52" s="87" t="e">
        <f>Input!#REF!</f>
        <v>#REF!</v>
      </c>
      <c r="J52" s="87" t="e">
        <f>Input!#REF!</f>
        <v>#REF!</v>
      </c>
      <c r="K52" s="87" t="e">
        <f>Input!#REF!</f>
        <v>#REF!</v>
      </c>
      <c r="N52" s="88" t="s">
        <v>412</v>
      </c>
      <c r="O52" s="129">
        <v>256634077.84615386</v>
      </c>
    </row>
    <row r="53" spans="2:15" ht="20.5" customHeight="1" x14ac:dyDescent="0.4">
      <c r="B53" s="88" t="s">
        <v>413</v>
      </c>
      <c r="C53" s="112" t="e">
        <f t="shared" si="13"/>
        <v>#REF!</v>
      </c>
      <c r="D53" s="112" t="e">
        <f t="shared" si="14"/>
        <v>#REF!</v>
      </c>
      <c r="E53" s="112" t="e">
        <f t="shared" si="15"/>
        <v>#REF!</v>
      </c>
      <c r="F53" s="116"/>
      <c r="G53"/>
      <c r="H53" s="88" t="s">
        <v>413</v>
      </c>
      <c r="I53" s="87" t="e">
        <f>Input!#REF!</f>
        <v>#REF!</v>
      </c>
      <c r="J53" s="87" t="e">
        <f>Input!#REF!</f>
        <v>#REF!</v>
      </c>
      <c r="K53" s="87" t="e">
        <f>Input!#REF!</f>
        <v>#REF!</v>
      </c>
      <c r="N53" s="88" t="s">
        <v>413</v>
      </c>
      <c r="O53" s="129">
        <v>136294537.84615386</v>
      </c>
    </row>
    <row r="54" spans="2:15" ht="20.5" customHeight="1" x14ac:dyDescent="0.4">
      <c r="B54" s="88" t="s">
        <v>414</v>
      </c>
      <c r="C54" s="112" t="e">
        <f t="shared" si="13"/>
        <v>#REF!</v>
      </c>
      <c r="D54" s="112" t="e">
        <f t="shared" si="14"/>
        <v>#REF!</v>
      </c>
      <c r="E54" s="112" t="e">
        <f t="shared" si="15"/>
        <v>#REF!</v>
      </c>
      <c r="F54" s="116"/>
      <c r="G54"/>
      <c r="H54" s="88" t="s">
        <v>414</v>
      </c>
      <c r="I54" s="87" t="e">
        <f>Input!#REF!</f>
        <v>#REF!</v>
      </c>
      <c r="J54" s="87" t="e">
        <f>Input!#REF!</f>
        <v>#REF!</v>
      </c>
      <c r="K54" s="87" t="e">
        <f>Input!#REF!</f>
        <v>#REF!</v>
      </c>
      <c r="N54" s="88" t="s">
        <v>414</v>
      </c>
      <c r="O54" s="129">
        <v>123528937.84615386</v>
      </c>
    </row>
    <row r="55" spans="2:15" ht="20.5" customHeight="1" x14ac:dyDescent="0.4">
      <c r="B55" s="88" t="s">
        <v>415</v>
      </c>
      <c r="C55" s="112" t="e">
        <f t="shared" si="13"/>
        <v>#REF!</v>
      </c>
      <c r="D55" s="112" t="e">
        <f t="shared" si="14"/>
        <v>#REF!</v>
      </c>
      <c r="E55" s="112" t="e">
        <f t="shared" si="15"/>
        <v>#REF!</v>
      </c>
      <c r="F55" s="116"/>
      <c r="G55"/>
      <c r="H55" s="88" t="s">
        <v>415</v>
      </c>
      <c r="I55" s="87" t="e">
        <f>Input!#REF!</f>
        <v>#REF!</v>
      </c>
      <c r="J55" s="87" t="e">
        <f>Input!#REF!</f>
        <v>#REF!</v>
      </c>
      <c r="K55" s="87" t="e">
        <f>Input!#REF!</f>
        <v>#REF!</v>
      </c>
      <c r="N55" s="88" t="s">
        <v>415</v>
      </c>
      <c r="O55" s="129">
        <v>745437260.88095236</v>
      </c>
    </row>
    <row r="56" spans="2:15" ht="20.5" customHeight="1" x14ac:dyDescent="0.4">
      <c r="B56" s="88" t="s">
        <v>416</v>
      </c>
      <c r="C56" s="112" t="e">
        <f t="shared" si="13"/>
        <v>#REF!</v>
      </c>
      <c r="D56" s="112" t="e">
        <f t="shared" si="14"/>
        <v>#REF!</v>
      </c>
      <c r="E56" s="112" t="e">
        <f t="shared" si="15"/>
        <v>#REF!</v>
      </c>
      <c r="F56" s="116"/>
      <c r="G56"/>
      <c r="H56" s="88" t="s">
        <v>416</v>
      </c>
      <c r="I56" s="87" t="e">
        <f>Input!#REF!</f>
        <v>#REF!</v>
      </c>
      <c r="J56" s="87" t="e">
        <f>Input!#REF!</f>
        <v>#REF!</v>
      </c>
      <c r="K56" s="87" t="e">
        <f>Input!#REF!</f>
        <v>#REF!</v>
      </c>
      <c r="N56" s="88" t="s">
        <v>416</v>
      </c>
      <c r="O56" s="129">
        <v>732671660.88095236</v>
      </c>
    </row>
    <row r="57" spans="2:15" ht="20.5" customHeight="1" x14ac:dyDescent="0.4">
      <c r="B57" s="88" t="s">
        <v>417</v>
      </c>
      <c r="C57" s="112" t="e">
        <f t="shared" si="13"/>
        <v>#REF!</v>
      </c>
      <c r="D57" s="112" t="e">
        <f t="shared" si="14"/>
        <v>#REF!</v>
      </c>
      <c r="E57" s="112" t="e">
        <f t="shared" si="15"/>
        <v>#REF!</v>
      </c>
      <c r="F57" s="116"/>
      <c r="G57"/>
      <c r="H57" s="88" t="s">
        <v>417</v>
      </c>
      <c r="I57" s="87" t="e">
        <f>Input!#REF!</f>
        <v>#REF!</v>
      </c>
      <c r="J57" s="87" t="e">
        <f>Input!#REF!</f>
        <v>#REF!</v>
      </c>
      <c r="K57" s="87" t="e">
        <f>Input!#REF!</f>
        <v>#REF!</v>
      </c>
      <c r="N57" s="88" t="s">
        <v>417</v>
      </c>
      <c r="O57" s="129">
        <v>385176420</v>
      </c>
    </row>
    <row r="58" spans="2:15" ht="20.5" customHeight="1" x14ac:dyDescent="0.4">
      <c r="B58" s="88" t="s">
        <v>418</v>
      </c>
      <c r="C58" s="112" t="e">
        <f t="shared" si="13"/>
        <v>#REF!</v>
      </c>
      <c r="D58" s="112" t="e">
        <f t="shared" si="14"/>
        <v>#REF!</v>
      </c>
      <c r="E58" s="112" t="e">
        <f t="shared" si="15"/>
        <v>#REF!</v>
      </c>
      <c r="F58" s="116"/>
      <c r="G58"/>
      <c r="H58" s="88" t="s">
        <v>418</v>
      </c>
      <c r="I58" s="87" t="e">
        <f>Input!#REF!</f>
        <v>#REF!</v>
      </c>
      <c r="J58" s="87" t="e">
        <f>Input!#REF!</f>
        <v>#REF!</v>
      </c>
      <c r="K58" s="87" t="e">
        <f>Input!#REF!</f>
        <v>#REF!</v>
      </c>
      <c r="N58" s="88" t="s">
        <v>418</v>
      </c>
      <c r="O58" s="129">
        <v>372410820</v>
      </c>
    </row>
    <row r="59" spans="2:15" ht="20.5" customHeight="1" x14ac:dyDescent="0.4">
      <c r="B59" s="88" t="s">
        <v>419</v>
      </c>
      <c r="C59" s="112" t="e">
        <f t="shared" si="13"/>
        <v>#REF!</v>
      </c>
      <c r="D59" s="112" t="e">
        <f t="shared" si="14"/>
        <v>#REF!</v>
      </c>
      <c r="E59" s="112" t="e">
        <f t="shared" si="15"/>
        <v>#REF!</v>
      </c>
      <c r="F59" s="116"/>
      <c r="G59"/>
      <c r="H59" s="88" t="s">
        <v>419</v>
      </c>
      <c r="I59" s="87" t="e">
        <f>Input!#REF!</f>
        <v>#REF!</v>
      </c>
      <c r="J59" s="87" t="e">
        <f>Input!#REF!</f>
        <v>#REF!</v>
      </c>
      <c r="K59" s="87" t="e">
        <f>Input!#REF!</f>
        <v>#REF!</v>
      </c>
      <c r="N59" s="88" t="s">
        <v>419</v>
      </c>
      <c r="O59" s="129">
        <v>252071280</v>
      </c>
    </row>
    <row r="60" spans="2:15" ht="20.5" customHeight="1" x14ac:dyDescent="0.4">
      <c r="B60" s="88" t="s">
        <v>420</v>
      </c>
      <c r="C60" s="112" t="e">
        <f t="shared" si="13"/>
        <v>#REF!</v>
      </c>
      <c r="D60" s="112" t="e">
        <f t="shared" si="14"/>
        <v>#REF!</v>
      </c>
      <c r="E60" s="112" t="e">
        <f t="shared" si="15"/>
        <v>#REF!</v>
      </c>
      <c r="F60" s="116"/>
      <c r="G60"/>
      <c r="H60" s="88" t="s">
        <v>420</v>
      </c>
      <c r="I60" s="87" t="e">
        <f>Input!#REF!</f>
        <v>#REF!</v>
      </c>
      <c r="J60" s="87" t="e">
        <f>Input!#REF!</f>
        <v>#REF!</v>
      </c>
      <c r="K60" s="87" t="e">
        <f>Input!#REF!</f>
        <v>#REF!</v>
      </c>
      <c r="N60" s="88" t="s">
        <v>420</v>
      </c>
      <c r="O60" s="129">
        <v>239305680</v>
      </c>
    </row>
    <row r="61" spans="2:15" ht="20.5" customHeight="1" x14ac:dyDescent="0.4">
      <c r="B61" s="88" t="s">
        <v>421</v>
      </c>
      <c r="C61" s="112" t="e">
        <f t="shared" si="13"/>
        <v>#REF!</v>
      </c>
      <c r="D61" s="112" t="e">
        <f t="shared" si="14"/>
        <v>#REF!</v>
      </c>
      <c r="E61" s="112" t="e">
        <f t="shared" si="15"/>
        <v>#REF!</v>
      </c>
      <c r="F61" s="116"/>
      <c r="G61"/>
      <c r="H61" s="88" t="s">
        <v>421</v>
      </c>
      <c r="I61" s="87" t="e">
        <f>Input!#REF!</f>
        <v>#REF!</v>
      </c>
      <c r="J61" s="87" t="e">
        <f>Input!#REF!</f>
        <v>#REF!</v>
      </c>
      <c r="K61" s="87" t="e">
        <f>Input!#REF!</f>
        <v>#REF!</v>
      </c>
      <c r="N61" s="88" t="s">
        <v>421</v>
      </c>
      <c r="O61" s="129">
        <v>698438971.98458624</v>
      </c>
    </row>
    <row r="62" spans="2:15" ht="20.5" customHeight="1" x14ac:dyDescent="0.4">
      <c r="B62" s="88" t="s">
        <v>422</v>
      </c>
      <c r="C62" s="112" t="e">
        <f t="shared" si="13"/>
        <v>#REF!</v>
      </c>
      <c r="D62" s="112" t="e">
        <f t="shared" si="14"/>
        <v>#REF!</v>
      </c>
      <c r="E62" s="112" t="e">
        <f t="shared" si="15"/>
        <v>#REF!</v>
      </c>
      <c r="F62" s="116"/>
      <c r="G62"/>
      <c r="H62" s="88" t="s">
        <v>422</v>
      </c>
      <c r="I62" s="87" t="e">
        <f>Input!#REF!</f>
        <v>#REF!</v>
      </c>
      <c r="J62" s="87" t="e">
        <f>Input!#REF!</f>
        <v>#REF!</v>
      </c>
      <c r="K62" s="87" t="e">
        <f>Input!#REF!</f>
        <v>#REF!</v>
      </c>
      <c r="N62" s="88" t="s">
        <v>422</v>
      </c>
      <c r="O62" s="129">
        <v>338178131.10363388</v>
      </c>
    </row>
    <row r="63" spans="2:15" ht="20.5" customHeight="1" x14ac:dyDescent="0.4">
      <c r="B63" s="88" t="s">
        <v>423</v>
      </c>
      <c r="C63" s="112" t="e">
        <f t="shared" si="13"/>
        <v>#REF!</v>
      </c>
      <c r="D63" s="112" t="e">
        <f t="shared" si="14"/>
        <v>#REF!</v>
      </c>
      <c r="E63" s="112" t="e">
        <f t="shared" si="15"/>
        <v>#REF!</v>
      </c>
      <c r="F63" s="116"/>
      <c r="G63"/>
      <c r="H63" s="88" t="s">
        <v>423</v>
      </c>
      <c r="I63" s="87" t="e">
        <f>Input!#REF!</f>
        <v>#REF!</v>
      </c>
      <c r="J63" s="87" t="e">
        <f>Input!#REF!</f>
        <v>#REF!</v>
      </c>
      <c r="K63" s="87" t="e">
        <f>Input!#REF!</f>
        <v>#REF!</v>
      </c>
      <c r="N63" s="88" t="s">
        <v>423</v>
      </c>
      <c r="O63" s="129">
        <v>205072991.10363391</v>
      </c>
    </row>
    <row r="64" spans="2:15" ht="20.5" customHeight="1" x14ac:dyDescent="0.4">
      <c r="B64" s="88" t="s">
        <v>424</v>
      </c>
      <c r="C64" s="112" t="e">
        <f t="shared" si="13"/>
        <v>#REF!</v>
      </c>
      <c r="D64" s="112" t="e">
        <f t="shared" si="14"/>
        <v>#REF!</v>
      </c>
      <c r="E64" s="112" t="e">
        <f t="shared" si="15"/>
        <v>#REF!</v>
      </c>
      <c r="F64" s="116"/>
      <c r="G64"/>
      <c r="H64" s="88" t="s">
        <v>424</v>
      </c>
      <c r="I64" s="87" t="e">
        <f>Input!#REF!</f>
        <v>#REF!</v>
      </c>
      <c r="J64" s="87" t="e">
        <f>Input!#REF!</f>
        <v>#REF!</v>
      </c>
      <c r="K64" s="87" t="e">
        <f>Input!#REF!</f>
        <v>#REF!</v>
      </c>
      <c r="N64" s="88" t="s">
        <v>424</v>
      </c>
      <c r="O64" s="129">
        <v>720373749.83074009</v>
      </c>
    </row>
    <row r="65" spans="2:15" ht="20.5" customHeight="1" x14ac:dyDescent="0.4">
      <c r="B65" s="88" t="s">
        <v>425</v>
      </c>
      <c r="C65" s="112" t="e">
        <f t="shared" si="13"/>
        <v>#REF!</v>
      </c>
      <c r="D65" s="112" t="e">
        <f t="shared" si="14"/>
        <v>#REF!</v>
      </c>
      <c r="E65" s="112" t="e">
        <f t="shared" si="15"/>
        <v>#REF!</v>
      </c>
      <c r="F65" s="116"/>
      <c r="G65"/>
      <c r="H65" s="88" t="s">
        <v>425</v>
      </c>
      <c r="I65" s="87" t="e">
        <f>Input!#REF!</f>
        <v>#REF!</v>
      </c>
      <c r="J65" s="87" t="e">
        <f>Input!#REF!</f>
        <v>#REF!</v>
      </c>
      <c r="K65" s="87" t="e">
        <f>Input!#REF!</f>
        <v>#REF!</v>
      </c>
      <c r="N65" s="88" t="s">
        <v>425</v>
      </c>
      <c r="O65" s="129">
        <v>360112908.94978774</v>
      </c>
    </row>
    <row r="66" spans="2:15" ht="20.5" customHeight="1" x14ac:dyDescent="0.4">
      <c r="B66" s="88" t="s">
        <v>426</v>
      </c>
      <c r="C66" s="112" t="e">
        <f t="shared" si="13"/>
        <v>#REF!</v>
      </c>
      <c r="D66" s="112" t="e">
        <f t="shared" si="14"/>
        <v>#REF!</v>
      </c>
      <c r="E66" s="112" t="e">
        <f t="shared" si="15"/>
        <v>#REF!</v>
      </c>
      <c r="F66" s="116"/>
      <c r="G66"/>
      <c r="H66" s="88" t="s">
        <v>426</v>
      </c>
      <c r="I66" s="87" t="e">
        <f>Input!#REF!</f>
        <v>#REF!</v>
      </c>
      <c r="J66" s="87" t="e">
        <f>Input!#REF!</f>
        <v>#REF!</v>
      </c>
      <c r="K66" s="87" t="e">
        <f>Input!#REF!</f>
        <v>#REF!</v>
      </c>
      <c r="N66" s="88" t="s">
        <v>426</v>
      </c>
      <c r="O66" s="129">
        <v>227007768.94978777</v>
      </c>
    </row>
    <row r="67" spans="2:15" ht="20.5" customHeight="1" x14ac:dyDescent="0.4">
      <c r="B67" s="88" t="s">
        <v>427</v>
      </c>
      <c r="C67" s="112" t="e">
        <f t="shared" si="13"/>
        <v>#REF!</v>
      </c>
      <c r="D67" s="112" t="e">
        <f t="shared" si="14"/>
        <v>#REF!</v>
      </c>
      <c r="E67" s="112" t="e">
        <f t="shared" si="15"/>
        <v>#REF!</v>
      </c>
      <c r="F67" s="116"/>
      <c r="G67"/>
      <c r="H67" s="88" t="s">
        <v>427</v>
      </c>
      <c r="I67" s="87" t="e">
        <f>Input!#REF!</f>
        <v>#REF!</v>
      </c>
      <c r="J67" s="87" t="e">
        <f>Input!#REF!</f>
        <v>#REF!</v>
      </c>
      <c r="K67" s="87" t="e">
        <f>Input!#REF!</f>
        <v>#REF!</v>
      </c>
      <c r="N67" s="88" t="s">
        <v>427</v>
      </c>
      <c r="O67" s="129">
        <v>836150491.98458624</v>
      </c>
    </row>
    <row r="68" spans="2:15" ht="20.5" customHeight="1" x14ac:dyDescent="0.4">
      <c r="B68" s="88" t="s">
        <v>428</v>
      </c>
      <c r="C68" s="112" t="e">
        <f t="shared" si="13"/>
        <v>#REF!</v>
      </c>
      <c r="D68" s="112" t="e">
        <f t="shared" si="14"/>
        <v>#REF!</v>
      </c>
      <c r="E68" s="112" t="e">
        <f t="shared" si="15"/>
        <v>#REF!</v>
      </c>
      <c r="F68" s="116"/>
      <c r="G68"/>
      <c r="H68" s="88" t="s">
        <v>428</v>
      </c>
      <c r="I68" s="87" t="e">
        <f>Input!#REF!</f>
        <v>#REF!</v>
      </c>
      <c r="J68" s="87" t="e">
        <f>Input!#REF!</f>
        <v>#REF!</v>
      </c>
      <c r="K68" s="87" t="e">
        <f>Input!#REF!</f>
        <v>#REF!</v>
      </c>
      <c r="N68" s="88" t="s">
        <v>428</v>
      </c>
      <c r="O68" s="129">
        <v>475889651.10363388</v>
      </c>
    </row>
    <row r="69" spans="2:15" ht="20.5" customHeight="1" thickBot="1" x14ac:dyDescent="0.45">
      <c r="B69" s="89" t="s">
        <v>429</v>
      </c>
      <c r="C69" s="112" t="e">
        <f t="shared" si="13"/>
        <v>#REF!</v>
      </c>
      <c r="D69" s="112" t="e">
        <f t="shared" si="14"/>
        <v>#REF!</v>
      </c>
      <c r="E69" s="112" t="e">
        <f t="shared" si="15"/>
        <v>#REF!</v>
      </c>
      <c r="F69" s="116"/>
      <c r="G69"/>
      <c r="H69" s="89" t="s">
        <v>429</v>
      </c>
      <c r="I69" s="87" t="e">
        <f>Input!#REF!</f>
        <v>#REF!</v>
      </c>
      <c r="J69" s="87" t="e">
        <f>Input!#REF!</f>
        <v>#REF!</v>
      </c>
      <c r="K69" s="87" t="e">
        <f>Input!#REF!</f>
        <v>#REF!</v>
      </c>
      <c r="N69" s="89" t="s">
        <v>429</v>
      </c>
      <c r="O69" s="130">
        <v>342784511.10363388</v>
      </c>
    </row>
    <row r="70" spans="2:15" ht="35.5" thickBot="1" x14ac:dyDescent="0.75">
      <c r="B70" s="98" t="s">
        <v>52</v>
      </c>
      <c r="C70" s="118" t="e">
        <f>SUM(C9,C20,C42)</f>
        <v>#REF!</v>
      </c>
      <c r="D70" s="118" t="e">
        <f t="shared" ref="D70:E70" si="16">SUM(D9,D20,D42)</f>
        <v>#REF!</v>
      </c>
      <c r="E70" s="118" t="e">
        <f t="shared" si="16"/>
        <v>#REF!</v>
      </c>
      <c r="F70" s="119" t="e">
        <f>AVERAGE(C70:E70)</f>
        <v>#REF!</v>
      </c>
      <c r="G70"/>
      <c r="H70" s="110"/>
      <c r="I70" s="111" t="e">
        <f>SUM(I9,I20,I42)</f>
        <v>#REF!</v>
      </c>
      <c r="J70" s="111" t="e">
        <f t="shared" ref="J70:K70" si="17">SUM(J9,J20,J42)</f>
        <v>#REF!</v>
      </c>
      <c r="K70" s="111" t="e">
        <f t="shared" si="17"/>
        <v>#REF!</v>
      </c>
    </row>
    <row r="71" spans="2:15" x14ac:dyDescent="0.3">
      <c r="D71"/>
      <c r="E71"/>
      <c r="F71"/>
      <c r="G71"/>
      <c r="H71"/>
      <c r="I71"/>
      <c r="J71"/>
    </row>
    <row r="72" spans="2:15" x14ac:dyDescent="0.3">
      <c r="B72" s="5" t="s">
        <v>373</v>
      </c>
      <c r="C72" s="5" t="s">
        <v>342</v>
      </c>
      <c r="D72" s="136">
        <v>0.3</v>
      </c>
    </row>
    <row r="73" spans="2:15" x14ac:dyDescent="0.3">
      <c r="C73" s="5" t="s">
        <v>343</v>
      </c>
      <c r="D73" s="136">
        <v>0.56999999999999995</v>
      </c>
    </row>
    <row r="74" spans="2:15" x14ac:dyDescent="0.3">
      <c r="C74" s="5" t="s">
        <v>344</v>
      </c>
      <c r="D74" s="136">
        <v>0.13</v>
      </c>
    </row>
  </sheetData>
  <mergeCells count="3">
    <mergeCell ref="B7:E7"/>
    <mergeCell ref="N9:O9"/>
    <mergeCell ref="N20:O20"/>
  </mergeCells>
  <pageMargins left="0.7" right="0.7" top="0.75" bottom="0.75" header="0.3" footer="0.3"/>
  <pageSetup paperSize="9" orientation="portrait" horizontalDpi="360" verticalDpi="360" r:id="rId1"/>
  <headerFooter>
    <oddFooter>&amp;R_x000D_&amp;1#&amp;"Calibri"&amp;22&amp;KFF8939 RESTRICTED</oddFooter>
  </headerFooter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CB51FD-9132-472A-9281-8B743EF4517A}">
  <sheetPr codeName="Hoja1"/>
  <dimension ref="C10:M43"/>
  <sheetViews>
    <sheetView showGridLines="0" showRowColHeaders="0" topLeftCell="A7" zoomScale="80" zoomScaleNormal="80" workbookViewId="0">
      <selection activeCell="L21" sqref="L21"/>
    </sheetView>
  </sheetViews>
  <sheetFormatPr baseColWidth="10" defaultColWidth="11" defaultRowHeight="14" x14ac:dyDescent="0.3"/>
  <sheetData>
    <row r="10" spans="13:13" x14ac:dyDescent="0.3">
      <c r="M10" s="1"/>
    </row>
    <row r="42" spans="3:9" x14ac:dyDescent="0.3">
      <c r="C42" s="2" t="s">
        <v>430</v>
      </c>
      <c r="H42" s="1" t="s">
        <v>431</v>
      </c>
    </row>
    <row r="43" spans="3:9" x14ac:dyDescent="0.3">
      <c r="C43" s="2" t="s">
        <v>432</v>
      </c>
      <c r="I43" t="s">
        <v>433</v>
      </c>
    </row>
  </sheetData>
  <pageMargins left="0.7" right="0.7" top="0.75" bottom="0.75" header="0.3" footer="0.3"/>
  <pageSetup paperSize="9" orientation="portrait" horizontalDpi="90" verticalDpi="90" r:id="rId1"/>
  <headerFooter>
    <oddFooter>&amp;R_x000D_&amp;1#&amp;"Calibri"&amp;22&amp;KFF8939 RESTRICTED</oddFooter>
  </headerFooter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D6FD07-A369-4D57-8317-1B377EB227C0}">
  <sheetPr>
    <tabColor theme="7" tint="0.79998168889431442"/>
  </sheetPr>
  <dimension ref="B5:R88"/>
  <sheetViews>
    <sheetView topLeftCell="I1" zoomScale="60" zoomScaleNormal="60" workbookViewId="0">
      <selection activeCell="Q6" sqref="Q6"/>
    </sheetView>
  </sheetViews>
  <sheetFormatPr baseColWidth="10" defaultColWidth="11" defaultRowHeight="14" x14ac:dyDescent="0.3"/>
  <cols>
    <col min="2" max="2" width="25.6640625" bestFit="1" customWidth="1"/>
    <col min="3" max="3" width="62.5" customWidth="1"/>
    <col min="4" max="4" width="26.33203125" bestFit="1" customWidth="1"/>
    <col min="5" max="5" width="27.1640625" bestFit="1" customWidth="1"/>
    <col min="6" max="7" width="27.6640625" bestFit="1" customWidth="1"/>
    <col min="8" max="8" width="27.6640625" customWidth="1"/>
    <col min="9" max="9" width="21.6640625" customWidth="1"/>
    <col min="10" max="10" width="25.6640625" bestFit="1" customWidth="1"/>
    <col min="11" max="11" width="34" bestFit="1" customWidth="1"/>
    <col min="12" max="12" width="26.33203125" bestFit="1" customWidth="1"/>
    <col min="13" max="13" width="27.1640625" bestFit="1" customWidth="1"/>
    <col min="14" max="15" width="27.6640625" bestFit="1" customWidth="1"/>
    <col min="16" max="16" width="51.33203125" bestFit="1" customWidth="1"/>
    <col min="17" max="17" width="12.33203125" bestFit="1" customWidth="1"/>
  </cols>
  <sheetData>
    <row r="5" spans="2:18" ht="14.5" thickBot="1" x14ac:dyDescent="0.35"/>
    <row r="6" spans="2:18" ht="23.5" thickBot="1" x14ac:dyDescent="0.55000000000000004">
      <c r="D6" s="402" t="s">
        <v>210</v>
      </c>
      <c r="E6" s="403"/>
      <c r="F6" s="403"/>
      <c r="G6" s="403"/>
      <c r="H6" s="54"/>
      <c r="I6" s="52"/>
      <c r="L6" s="402" t="s">
        <v>210</v>
      </c>
      <c r="M6" s="403"/>
      <c r="N6" s="403"/>
      <c r="O6" s="403"/>
      <c r="P6" s="38" t="s">
        <v>211</v>
      </c>
      <c r="Q6" s="75">
        <v>4713.08</v>
      </c>
    </row>
    <row r="7" spans="2:18" ht="14.5" thickBot="1" x14ac:dyDescent="0.35"/>
    <row r="8" spans="2:18" ht="23.5" thickBot="1" x14ac:dyDescent="0.55000000000000004">
      <c r="B8" s="28"/>
      <c r="C8" s="29"/>
      <c r="D8" s="30" t="s">
        <v>243</v>
      </c>
      <c r="E8" s="30" t="s">
        <v>434</v>
      </c>
      <c r="F8" s="30" t="s">
        <v>244</v>
      </c>
      <c r="G8" s="56" t="s">
        <v>245</v>
      </c>
      <c r="H8" s="69">
        <f>'Input-Ponderador riesgo'!G48</f>
        <v>0</v>
      </c>
      <c r="I8" s="13"/>
      <c r="J8" s="28"/>
      <c r="K8" s="29"/>
      <c r="L8" s="30" t="s">
        <v>243</v>
      </c>
      <c r="M8" s="30" t="s">
        <v>434</v>
      </c>
      <c r="N8" s="30" t="s">
        <v>244</v>
      </c>
      <c r="O8" s="30" t="s">
        <v>245</v>
      </c>
      <c r="P8" s="31" t="s">
        <v>246</v>
      </c>
    </row>
    <row r="9" spans="2:18" x14ac:dyDescent="0.3">
      <c r="B9" s="396" t="s">
        <v>213</v>
      </c>
      <c r="C9" s="15"/>
      <c r="D9" s="15"/>
      <c r="E9" s="15"/>
      <c r="F9" s="15"/>
      <c r="G9" s="65"/>
      <c r="J9" s="396" t="s">
        <v>213</v>
      </c>
      <c r="K9" s="15"/>
      <c r="L9" s="15"/>
      <c r="M9" s="15"/>
      <c r="N9" s="15"/>
      <c r="O9" s="15"/>
      <c r="P9" s="33"/>
    </row>
    <row r="10" spans="2:18" x14ac:dyDescent="0.3">
      <c r="B10" s="396"/>
      <c r="C10" s="15" t="s">
        <v>215</v>
      </c>
      <c r="D10" s="23">
        <f>L10*$P10</f>
        <v>13.39</v>
      </c>
      <c r="E10" s="23">
        <f>M10*$P10</f>
        <v>13.39</v>
      </c>
      <c r="F10" s="23">
        <f>N10*$P10</f>
        <v>19.57</v>
      </c>
      <c r="G10" s="66">
        <f>O10*$P10</f>
        <v>30.385000000000005</v>
      </c>
      <c r="H10" s="21"/>
      <c r="I10" s="21"/>
      <c r="J10" s="396"/>
      <c r="K10" s="15" t="s">
        <v>215</v>
      </c>
      <c r="L10" s="15">
        <v>2.6</v>
      </c>
      <c r="M10" s="15">
        <v>2.6</v>
      </c>
      <c r="N10" s="15">
        <v>3.8</v>
      </c>
      <c r="O10" s="15">
        <v>5.9</v>
      </c>
      <c r="P10" s="34">
        <v>5.15</v>
      </c>
      <c r="Q10" s="76">
        <f>P10*$Q$6</f>
        <v>24272.362000000001</v>
      </c>
    </row>
    <row r="11" spans="2:18" x14ac:dyDescent="0.3">
      <c r="B11" s="396"/>
      <c r="C11" s="15" t="s">
        <v>216</v>
      </c>
      <c r="D11" s="23">
        <f t="shared" ref="D11:G39" si="0">L11*$P11</f>
        <v>6.3279999999999994</v>
      </c>
      <c r="E11" s="23">
        <f t="shared" si="0"/>
        <v>6.3279999999999994</v>
      </c>
      <c r="F11" s="23">
        <f t="shared" si="0"/>
        <v>12.43</v>
      </c>
      <c r="G11" s="66">
        <f t="shared" si="0"/>
        <v>19.887999999999998</v>
      </c>
      <c r="H11" s="21"/>
      <c r="I11" s="3"/>
      <c r="J11" s="396"/>
      <c r="K11" s="15" t="s">
        <v>216</v>
      </c>
      <c r="L11" s="15">
        <v>2.8</v>
      </c>
      <c r="M11" s="15">
        <v>2.8</v>
      </c>
      <c r="N11" s="15">
        <v>5.5</v>
      </c>
      <c r="O11" s="15">
        <v>8.8000000000000007</v>
      </c>
      <c r="P11" s="47">
        <v>2.2599999999999998</v>
      </c>
      <c r="Q11" s="76">
        <f t="shared" ref="Q11:Q39" si="1">P11*$Q$6</f>
        <v>10651.560799999999</v>
      </c>
    </row>
    <row r="12" spans="2:18" x14ac:dyDescent="0.3">
      <c r="B12" s="396"/>
      <c r="C12" s="15" t="s">
        <v>217</v>
      </c>
      <c r="D12" s="23">
        <f t="shared" si="0"/>
        <v>14.42</v>
      </c>
      <c r="E12" s="23">
        <f t="shared" si="0"/>
        <v>14.42</v>
      </c>
      <c r="F12" s="23">
        <f t="shared" si="0"/>
        <v>21.630000000000003</v>
      </c>
      <c r="G12" s="66">
        <f t="shared" si="0"/>
        <v>36.564999999999998</v>
      </c>
      <c r="H12" s="21"/>
      <c r="I12" s="21"/>
      <c r="J12" s="396"/>
      <c r="K12" s="15" t="s">
        <v>217</v>
      </c>
      <c r="L12" s="15">
        <v>2.8</v>
      </c>
      <c r="M12" s="15">
        <v>2.8</v>
      </c>
      <c r="N12" s="15">
        <v>4.2</v>
      </c>
      <c r="O12" s="15">
        <v>7.1</v>
      </c>
      <c r="P12" s="34">
        <v>5.15</v>
      </c>
      <c r="Q12" s="76">
        <f t="shared" si="1"/>
        <v>24272.362000000001</v>
      </c>
    </row>
    <row r="13" spans="2:18" x14ac:dyDescent="0.3">
      <c r="B13" s="396"/>
      <c r="C13" s="15" t="s">
        <v>218</v>
      </c>
      <c r="D13" s="23">
        <f t="shared" si="0"/>
        <v>35</v>
      </c>
      <c r="E13" s="23">
        <f t="shared" si="0"/>
        <v>35</v>
      </c>
      <c r="F13" s="23">
        <f t="shared" si="0"/>
        <v>36</v>
      </c>
      <c r="G13" s="66">
        <f t="shared" si="0"/>
        <v>72</v>
      </c>
      <c r="H13" s="21"/>
      <c r="I13" s="21"/>
      <c r="J13" s="396"/>
      <c r="K13" s="15" t="s">
        <v>218</v>
      </c>
      <c r="L13" s="15">
        <v>3.5</v>
      </c>
      <c r="M13" s="15">
        <v>3.5</v>
      </c>
      <c r="N13" s="15">
        <v>3.6</v>
      </c>
      <c r="O13" s="15">
        <v>7.2</v>
      </c>
      <c r="P13" s="35">
        <v>10</v>
      </c>
      <c r="Q13" s="76">
        <f t="shared" si="1"/>
        <v>47130.8</v>
      </c>
    </row>
    <row r="14" spans="2:18" x14ac:dyDescent="0.3">
      <c r="B14" s="32" t="s">
        <v>219</v>
      </c>
      <c r="C14" s="15"/>
      <c r="D14" s="23">
        <f t="shared" si="0"/>
        <v>0</v>
      </c>
      <c r="E14" s="23">
        <f t="shared" si="0"/>
        <v>0</v>
      </c>
      <c r="F14" s="23">
        <f t="shared" si="0"/>
        <v>0</v>
      </c>
      <c r="G14" s="66">
        <f t="shared" si="0"/>
        <v>0</v>
      </c>
      <c r="H14" s="21"/>
      <c r="I14" s="21"/>
      <c r="J14" s="32" t="s">
        <v>219</v>
      </c>
      <c r="K14" s="15"/>
      <c r="L14" s="15"/>
      <c r="M14" s="15"/>
      <c r="N14" s="15"/>
      <c r="O14" s="15"/>
      <c r="P14" s="34"/>
      <c r="Q14" s="76">
        <f t="shared" si="1"/>
        <v>0</v>
      </c>
    </row>
    <row r="15" spans="2:18" x14ac:dyDescent="0.3">
      <c r="B15" s="32"/>
      <c r="C15" s="15" t="s">
        <v>121</v>
      </c>
      <c r="D15" s="23">
        <f t="shared" si="0"/>
        <v>14.05</v>
      </c>
      <c r="E15" s="23">
        <f t="shared" si="0"/>
        <v>14.05</v>
      </c>
      <c r="F15" s="23">
        <f t="shared" si="0"/>
        <v>19.670000000000002</v>
      </c>
      <c r="G15" s="66">
        <f t="shared" si="0"/>
        <v>22.48</v>
      </c>
      <c r="H15" s="21"/>
      <c r="I15" s="1" t="s">
        <v>220</v>
      </c>
      <c r="J15" s="32"/>
      <c r="K15" s="15" t="s">
        <v>121</v>
      </c>
      <c r="L15" s="15">
        <v>2.5</v>
      </c>
      <c r="M15" s="15">
        <v>2.5</v>
      </c>
      <c r="N15" s="15">
        <v>3.5</v>
      </c>
      <c r="O15" s="15">
        <v>4</v>
      </c>
      <c r="P15" s="34">
        <v>5.62</v>
      </c>
      <c r="Q15" s="76">
        <f t="shared" si="1"/>
        <v>26487.509600000001</v>
      </c>
    </row>
    <row r="16" spans="2:18" x14ac:dyDescent="0.3">
      <c r="B16" s="32"/>
      <c r="C16" s="15" t="s">
        <v>221</v>
      </c>
      <c r="D16" s="23">
        <f t="shared" si="0"/>
        <v>39.31</v>
      </c>
      <c r="E16" s="23">
        <f t="shared" si="0"/>
        <v>39.31</v>
      </c>
      <c r="F16" s="23">
        <f t="shared" si="0"/>
        <v>39.31</v>
      </c>
      <c r="G16" s="66">
        <f t="shared" si="0"/>
        <v>39.31</v>
      </c>
      <c r="H16" s="21"/>
      <c r="I16" s="21"/>
      <c r="J16" s="32"/>
      <c r="K16" s="15" t="s">
        <v>221</v>
      </c>
      <c r="L16" s="15">
        <v>1</v>
      </c>
      <c r="M16" s="15">
        <v>1</v>
      </c>
      <c r="N16" s="15">
        <v>1</v>
      </c>
      <c r="O16" s="15">
        <v>1</v>
      </c>
      <c r="P16" s="34">
        <v>39.31</v>
      </c>
      <c r="Q16" s="76">
        <f t="shared" si="1"/>
        <v>185271.17480000001</v>
      </c>
      <c r="R16" s="1"/>
    </row>
    <row r="17" spans="2:17" x14ac:dyDescent="0.3">
      <c r="B17" s="32"/>
      <c r="C17" s="15" t="s">
        <v>222</v>
      </c>
      <c r="D17" s="23">
        <f t="shared" si="0"/>
        <v>94.25</v>
      </c>
      <c r="E17" s="23">
        <f t="shared" si="0"/>
        <v>94.25</v>
      </c>
      <c r="F17" s="23">
        <f t="shared" si="0"/>
        <v>131.95000000000002</v>
      </c>
      <c r="G17" s="66">
        <f t="shared" si="0"/>
        <v>150.80000000000001</v>
      </c>
      <c r="H17" s="21"/>
      <c r="I17" s="21"/>
      <c r="J17" s="32"/>
      <c r="K17" s="15" t="s">
        <v>222</v>
      </c>
      <c r="L17" s="15">
        <v>2.5</v>
      </c>
      <c r="M17" s="15">
        <v>2.5</v>
      </c>
      <c r="N17" s="15">
        <v>3.5</v>
      </c>
      <c r="O17" s="15">
        <v>4</v>
      </c>
      <c r="P17" s="34">
        <v>37.700000000000003</v>
      </c>
      <c r="Q17" s="76">
        <f t="shared" si="1"/>
        <v>177683.11600000001</v>
      </c>
    </row>
    <row r="18" spans="2:17" x14ac:dyDescent="0.3">
      <c r="B18" s="32"/>
      <c r="C18" s="15" t="s">
        <v>128</v>
      </c>
      <c r="D18" s="23">
        <f t="shared" si="0"/>
        <v>26.03</v>
      </c>
      <c r="E18" s="23">
        <f t="shared" si="0"/>
        <v>26.03</v>
      </c>
      <c r="F18" s="23">
        <f t="shared" si="0"/>
        <v>26.03</v>
      </c>
      <c r="G18" s="66">
        <f t="shared" si="0"/>
        <v>52.06</v>
      </c>
      <c r="H18" s="21"/>
      <c r="I18" s="21"/>
      <c r="J18" s="32"/>
      <c r="K18" s="15" t="s">
        <v>128</v>
      </c>
      <c r="L18" s="15">
        <v>1</v>
      </c>
      <c r="M18" s="15">
        <v>1</v>
      </c>
      <c r="N18" s="15">
        <v>1</v>
      </c>
      <c r="O18" s="15">
        <v>2</v>
      </c>
      <c r="P18" s="34">
        <v>26.03</v>
      </c>
      <c r="Q18" s="76">
        <f t="shared" si="1"/>
        <v>122681.4724</v>
      </c>
    </row>
    <row r="19" spans="2:17" x14ac:dyDescent="0.3">
      <c r="B19" s="32"/>
      <c r="C19" s="15" t="s">
        <v>223</v>
      </c>
      <c r="D19" s="23">
        <f t="shared" si="0"/>
        <v>11.35</v>
      </c>
      <c r="E19" s="23">
        <f t="shared" si="0"/>
        <v>11.35</v>
      </c>
      <c r="F19" s="23">
        <f t="shared" si="0"/>
        <v>15.89</v>
      </c>
      <c r="G19" s="66">
        <f t="shared" si="0"/>
        <v>18.16</v>
      </c>
      <c r="H19" s="21"/>
      <c r="I19" s="21"/>
      <c r="J19" s="32"/>
      <c r="K19" s="15" t="s">
        <v>223</v>
      </c>
      <c r="L19" s="15">
        <v>2.5</v>
      </c>
      <c r="M19" s="15">
        <v>2.5</v>
      </c>
      <c r="N19" s="15">
        <v>3.5</v>
      </c>
      <c r="O19" s="15">
        <v>4</v>
      </c>
      <c r="P19" s="34">
        <v>4.54</v>
      </c>
      <c r="Q19" s="76">
        <f t="shared" si="1"/>
        <v>21397.3832</v>
      </c>
    </row>
    <row r="20" spans="2:17" x14ac:dyDescent="0.3">
      <c r="B20" s="32"/>
      <c r="C20" s="24" t="s">
        <v>134</v>
      </c>
      <c r="D20" s="23">
        <f t="shared" si="0"/>
        <v>5.3249999999999993</v>
      </c>
      <c r="E20" s="23">
        <f t="shared" si="0"/>
        <v>5.3249999999999993</v>
      </c>
      <c r="F20" s="23">
        <f t="shared" si="0"/>
        <v>7.4550000000000001</v>
      </c>
      <c r="G20" s="66">
        <f t="shared" si="0"/>
        <v>8.52</v>
      </c>
      <c r="H20" s="21"/>
      <c r="I20" s="21"/>
      <c r="J20" s="32"/>
      <c r="K20" s="24" t="s">
        <v>134</v>
      </c>
      <c r="L20" s="25">
        <v>2.5</v>
      </c>
      <c r="M20" s="25">
        <v>2.5</v>
      </c>
      <c r="N20" s="25">
        <v>3.5</v>
      </c>
      <c r="O20" s="25">
        <v>4</v>
      </c>
      <c r="P20" s="35">
        <v>2.13</v>
      </c>
      <c r="Q20" s="76">
        <f t="shared" si="1"/>
        <v>10038.8604</v>
      </c>
    </row>
    <row r="21" spans="2:17" x14ac:dyDescent="0.3">
      <c r="B21" s="32"/>
      <c r="C21" s="26" t="s">
        <v>224</v>
      </c>
      <c r="D21" s="23">
        <f t="shared" si="0"/>
        <v>5.3249999999999993</v>
      </c>
      <c r="E21" s="23">
        <f t="shared" si="0"/>
        <v>5.3249999999999993</v>
      </c>
      <c r="F21" s="23">
        <f t="shared" si="0"/>
        <v>7.4550000000000001</v>
      </c>
      <c r="G21" s="66">
        <f t="shared" si="0"/>
        <v>8.52</v>
      </c>
      <c r="H21" s="21"/>
      <c r="I21" s="21"/>
      <c r="J21" s="32"/>
      <c r="K21" s="26" t="s">
        <v>224</v>
      </c>
      <c r="L21" s="25">
        <v>2.5</v>
      </c>
      <c r="M21" s="25">
        <v>2.5</v>
      </c>
      <c r="N21" s="25">
        <v>3.5</v>
      </c>
      <c r="O21" s="25">
        <v>4</v>
      </c>
      <c r="P21" s="34">
        <v>2.13</v>
      </c>
      <c r="Q21" s="76">
        <f t="shared" si="1"/>
        <v>10038.8604</v>
      </c>
    </row>
    <row r="22" spans="2:17" x14ac:dyDescent="0.3">
      <c r="B22" s="32"/>
      <c r="C22" s="26" t="s">
        <v>225</v>
      </c>
      <c r="D22" s="23">
        <f t="shared" si="0"/>
        <v>6.125</v>
      </c>
      <c r="E22" s="23">
        <f t="shared" si="0"/>
        <v>6.125</v>
      </c>
      <c r="F22" s="23">
        <f t="shared" si="0"/>
        <v>8.5750000000000011</v>
      </c>
      <c r="G22" s="66">
        <f t="shared" si="0"/>
        <v>9.8000000000000007</v>
      </c>
      <c r="H22" s="21"/>
      <c r="I22" s="21"/>
      <c r="J22" s="32"/>
      <c r="K22" s="26" t="s">
        <v>225</v>
      </c>
      <c r="L22" s="25">
        <v>2.5</v>
      </c>
      <c r="M22" s="25">
        <v>2.5</v>
      </c>
      <c r="N22" s="25">
        <v>3.5</v>
      </c>
      <c r="O22" s="25">
        <v>4</v>
      </c>
      <c r="P22" s="34">
        <v>2.4500000000000002</v>
      </c>
      <c r="Q22" s="76">
        <f t="shared" si="1"/>
        <v>11547.046</v>
      </c>
    </row>
    <row r="23" spans="2:17" x14ac:dyDescent="0.3">
      <c r="B23" s="32"/>
      <c r="C23" s="26" t="s">
        <v>226</v>
      </c>
      <c r="D23" s="23">
        <f t="shared" si="0"/>
        <v>8.625</v>
      </c>
      <c r="E23" s="23">
        <f t="shared" si="0"/>
        <v>8.625</v>
      </c>
      <c r="F23" s="23">
        <f t="shared" si="0"/>
        <v>12.075000000000001</v>
      </c>
      <c r="G23" s="66">
        <f t="shared" si="0"/>
        <v>13.8</v>
      </c>
      <c r="H23" s="21"/>
      <c r="I23" s="21"/>
      <c r="J23" s="32"/>
      <c r="K23" s="26" t="s">
        <v>226</v>
      </c>
      <c r="L23" s="25">
        <v>2.5</v>
      </c>
      <c r="M23" s="25">
        <v>2.5</v>
      </c>
      <c r="N23" s="25">
        <v>3.5</v>
      </c>
      <c r="O23" s="25">
        <v>4</v>
      </c>
      <c r="P23" s="34">
        <v>3.45</v>
      </c>
      <c r="Q23" s="76">
        <f t="shared" si="1"/>
        <v>16260.126</v>
      </c>
    </row>
    <row r="24" spans="2:17" ht="28" x14ac:dyDescent="0.3">
      <c r="B24" s="32"/>
      <c r="C24" s="26" t="s">
        <v>227</v>
      </c>
      <c r="D24" s="23">
        <f t="shared" si="0"/>
        <v>4.6750000000000007</v>
      </c>
      <c r="E24" s="23">
        <f t="shared" si="0"/>
        <v>4.6750000000000007</v>
      </c>
      <c r="F24" s="23">
        <f t="shared" si="0"/>
        <v>6.5449999999999999</v>
      </c>
      <c r="G24" s="66">
        <f t="shared" si="0"/>
        <v>7.48</v>
      </c>
      <c r="H24" s="21"/>
      <c r="I24" s="21"/>
      <c r="J24" s="32"/>
      <c r="K24" s="26" t="s">
        <v>227</v>
      </c>
      <c r="L24" s="25">
        <v>2.5</v>
      </c>
      <c r="M24" s="25">
        <v>2.5</v>
      </c>
      <c r="N24" s="25">
        <v>3.5</v>
      </c>
      <c r="O24" s="25">
        <v>4</v>
      </c>
      <c r="P24" s="34">
        <v>1.87</v>
      </c>
      <c r="Q24" s="76">
        <f t="shared" si="1"/>
        <v>8813.4596000000001</v>
      </c>
    </row>
    <row r="25" spans="2:17" ht="28" x14ac:dyDescent="0.3">
      <c r="B25" s="32"/>
      <c r="C25" s="26" t="s">
        <v>228</v>
      </c>
      <c r="D25" s="23">
        <f t="shared" si="0"/>
        <v>4.6750000000000007</v>
      </c>
      <c r="E25" s="23">
        <f t="shared" si="0"/>
        <v>4.6750000000000007</v>
      </c>
      <c r="F25" s="23">
        <f t="shared" si="0"/>
        <v>6.5449999999999999</v>
      </c>
      <c r="G25" s="66">
        <f t="shared" si="0"/>
        <v>7.48</v>
      </c>
      <c r="H25" s="21"/>
      <c r="I25" s="21"/>
      <c r="J25" s="32"/>
      <c r="K25" s="26" t="s">
        <v>228</v>
      </c>
      <c r="L25" s="25">
        <v>2.5</v>
      </c>
      <c r="M25" s="25">
        <v>2.5</v>
      </c>
      <c r="N25" s="25">
        <v>3.5</v>
      </c>
      <c r="O25" s="25">
        <v>4</v>
      </c>
      <c r="P25" s="34">
        <v>1.87</v>
      </c>
      <c r="Q25" s="76">
        <f t="shared" si="1"/>
        <v>8813.4596000000001</v>
      </c>
    </row>
    <row r="26" spans="2:17" x14ac:dyDescent="0.3">
      <c r="B26" s="32"/>
      <c r="C26" s="26" t="s">
        <v>229</v>
      </c>
      <c r="D26" s="23">
        <f t="shared" si="0"/>
        <v>0</v>
      </c>
      <c r="E26" s="23">
        <f t="shared" si="0"/>
        <v>0</v>
      </c>
      <c r="F26" s="23">
        <f t="shared" si="0"/>
        <v>0</v>
      </c>
      <c r="G26" s="66">
        <f t="shared" si="0"/>
        <v>0</v>
      </c>
      <c r="H26" s="21"/>
      <c r="I26" s="21"/>
      <c r="J26" s="32"/>
      <c r="K26" s="26" t="s">
        <v>229</v>
      </c>
      <c r="L26" s="25">
        <v>2.5</v>
      </c>
      <c r="M26" s="25">
        <v>2.5</v>
      </c>
      <c r="N26" s="25">
        <v>3.5</v>
      </c>
      <c r="O26" s="25">
        <v>4</v>
      </c>
      <c r="P26" s="34"/>
      <c r="Q26" s="76">
        <f t="shared" si="1"/>
        <v>0</v>
      </c>
    </row>
    <row r="27" spans="2:17" x14ac:dyDescent="0.3">
      <c r="B27" s="32"/>
      <c r="C27" s="26" t="s">
        <v>230</v>
      </c>
      <c r="D27" s="23">
        <f t="shared" si="0"/>
        <v>5.1749999999999998</v>
      </c>
      <c r="E27" s="23">
        <f t="shared" si="0"/>
        <v>5.1749999999999998</v>
      </c>
      <c r="F27" s="23">
        <f t="shared" si="0"/>
        <v>7.2449999999999992</v>
      </c>
      <c r="G27" s="66">
        <f t="shared" si="0"/>
        <v>8.2799999999999994</v>
      </c>
      <c r="H27" s="21"/>
      <c r="I27" s="21"/>
      <c r="J27" s="32"/>
      <c r="K27" s="26" t="s">
        <v>230</v>
      </c>
      <c r="L27" s="25">
        <v>2.5</v>
      </c>
      <c r="M27" s="25">
        <v>2.5</v>
      </c>
      <c r="N27" s="25">
        <v>3.5</v>
      </c>
      <c r="O27" s="25">
        <v>4</v>
      </c>
      <c r="P27" s="34">
        <v>2.0699999999999998</v>
      </c>
      <c r="Q27" s="76">
        <f t="shared" si="1"/>
        <v>9756.0755999999983</v>
      </c>
    </row>
    <row r="28" spans="2:17" x14ac:dyDescent="0.3">
      <c r="B28" s="32"/>
      <c r="C28" s="26" t="s">
        <v>143</v>
      </c>
      <c r="D28" s="23">
        <f t="shared" si="0"/>
        <v>37.5</v>
      </c>
      <c r="E28" s="23">
        <f t="shared" si="0"/>
        <v>37.5</v>
      </c>
      <c r="F28" s="23">
        <f t="shared" si="0"/>
        <v>52.5</v>
      </c>
      <c r="G28" s="66">
        <f t="shared" si="0"/>
        <v>60</v>
      </c>
      <c r="H28" s="21"/>
      <c r="I28" s="21"/>
      <c r="J28" s="32"/>
      <c r="K28" s="26" t="s">
        <v>143</v>
      </c>
      <c r="L28" s="25">
        <v>2.5</v>
      </c>
      <c r="M28" s="25">
        <v>2.5</v>
      </c>
      <c r="N28" s="25">
        <v>3.5</v>
      </c>
      <c r="O28" s="25">
        <v>4</v>
      </c>
      <c r="P28" s="35">
        <v>15</v>
      </c>
      <c r="Q28" s="76">
        <f t="shared" si="1"/>
        <v>70696.2</v>
      </c>
    </row>
    <row r="29" spans="2:17" x14ac:dyDescent="0.3">
      <c r="B29" s="32" t="s">
        <v>231</v>
      </c>
      <c r="C29" s="26" t="s">
        <v>232</v>
      </c>
      <c r="D29" s="23">
        <f t="shared" si="0"/>
        <v>9.8800000000000008</v>
      </c>
      <c r="E29" s="23">
        <f t="shared" si="0"/>
        <v>9.8800000000000008</v>
      </c>
      <c r="F29" s="23">
        <f t="shared" si="0"/>
        <v>9.8800000000000008</v>
      </c>
      <c r="G29" s="66">
        <f t="shared" si="0"/>
        <v>9.8800000000000008</v>
      </c>
      <c r="H29" s="21"/>
      <c r="I29" s="21"/>
      <c r="J29" s="32" t="s">
        <v>231</v>
      </c>
      <c r="K29" s="26" t="s">
        <v>232</v>
      </c>
      <c r="L29" s="25">
        <v>1</v>
      </c>
      <c r="M29" s="25">
        <v>1</v>
      </c>
      <c r="N29" s="25">
        <v>1</v>
      </c>
      <c r="O29" s="25">
        <v>1</v>
      </c>
      <c r="P29" s="34">
        <v>9.8800000000000008</v>
      </c>
      <c r="Q29" s="76">
        <f t="shared" si="1"/>
        <v>46565.2304</v>
      </c>
    </row>
    <row r="30" spans="2:17" x14ac:dyDescent="0.3">
      <c r="B30" s="32"/>
      <c r="C30" s="26" t="s">
        <v>233</v>
      </c>
      <c r="D30" s="23">
        <f t="shared" si="0"/>
        <v>16.16</v>
      </c>
      <c r="E30" s="23">
        <f t="shared" si="0"/>
        <v>16.16</v>
      </c>
      <c r="F30" s="23">
        <f t="shared" si="0"/>
        <v>16.16</v>
      </c>
      <c r="G30" s="66">
        <f t="shared" si="0"/>
        <v>16.16</v>
      </c>
      <c r="H30" s="21"/>
      <c r="I30" s="21"/>
      <c r="J30" s="32"/>
      <c r="K30" s="26" t="s">
        <v>233</v>
      </c>
      <c r="L30" s="25">
        <v>1</v>
      </c>
      <c r="M30" s="25">
        <v>1</v>
      </c>
      <c r="N30" s="25">
        <v>1</v>
      </c>
      <c r="O30" s="25">
        <v>1</v>
      </c>
      <c r="P30" s="34">
        <v>16.16</v>
      </c>
      <c r="Q30" s="76">
        <f t="shared" si="1"/>
        <v>76163.372799999997</v>
      </c>
    </row>
    <row r="31" spans="2:17" x14ac:dyDescent="0.3">
      <c r="B31" s="32"/>
      <c r="C31" s="15" t="s">
        <v>234</v>
      </c>
      <c r="D31" s="23">
        <f t="shared" si="0"/>
        <v>5.23</v>
      </c>
      <c r="E31" s="23">
        <f t="shared" si="0"/>
        <v>5.23</v>
      </c>
      <c r="F31" s="23">
        <f t="shared" si="0"/>
        <v>5.23</v>
      </c>
      <c r="G31" s="66">
        <f t="shared" si="0"/>
        <v>10.46</v>
      </c>
      <c r="H31" s="21"/>
      <c r="I31" s="21"/>
      <c r="J31" s="32"/>
      <c r="K31" s="15" t="s">
        <v>234</v>
      </c>
      <c r="L31" s="15">
        <v>1</v>
      </c>
      <c r="M31" s="15">
        <v>1</v>
      </c>
      <c r="N31" s="15">
        <v>1</v>
      </c>
      <c r="O31" s="15">
        <v>2</v>
      </c>
      <c r="P31" s="34">
        <v>5.23</v>
      </c>
      <c r="Q31" s="76">
        <f t="shared" si="1"/>
        <v>24649.4084</v>
      </c>
    </row>
    <row r="32" spans="2:17" x14ac:dyDescent="0.3">
      <c r="B32" s="32" t="s">
        <v>235</v>
      </c>
      <c r="C32" s="15" t="s">
        <v>236</v>
      </c>
      <c r="D32" s="23">
        <f t="shared" si="0"/>
        <v>199.43</v>
      </c>
      <c r="E32" s="23">
        <f t="shared" si="0"/>
        <v>199.43</v>
      </c>
      <c r="F32" s="23">
        <f t="shared" si="0"/>
        <v>199.43</v>
      </c>
      <c r="G32" s="66">
        <f t="shared" si="0"/>
        <v>199.43</v>
      </c>
      <c r="H32" s="21"/>
      <c r="I32" s="21"/>
      <c r="J32" s="32" t="s">
        <v>235</v>
      </c>
      <c r="K32" s="15" t="s">
        <v>236</v>
      </c>
      <c r="L32" s="15">
        <v>1</v>
      </c>
      <c r="M32" s="15">
        <v>1</v>
      </c>
      <c r="N32" s="15">
        <v>1</v>
      </c>
      <c r="O32" s="15">
        <v>1</v>
      </c>
      <c r="P32" s="34">
        <v>199.43</v>
      </c>
      <c r="Q32" s="76">
        <f t="shared" si="1"/>
        <v>939929.54440000001</v>
      </c>
    </row>
    <row r="33" spans="2:17" x14ac:dyDescent="0.3">
      <c r="B33" s="32"/>
      <c r="C33" s="15" t="s">
        <v>237</v>
      </c>
      <c r="D33" s="23">
        <f t="shared" si="0"/>
        <v>150</v>
      </c>
      <c r="E33" s="23">
        <f t="shared" si="0"/>
        <v>150</v>
      </c>
      <c r="F33" s="23">
        <f t="shared" si="0"/>
        <v>150</v>
      </c>
      <c r="G33" s="66">
        <f t="shared" si="0"/>
        <v>150</v>
      </c>
      <c r="H33" s="21"/>
      <c r="I33" s="21"/>
      <c r="J33" s="32"/>
      <c r="K33" s="15" t="s">
        <v>237</v>
      </c>
      <c r="L33" s="15">
        <v>1</v>
      </c>
      <c r="M33" s="15">
        <v>1</v>
      </c>
      <c r="N33" s="15">
        <v>1</v>
      </c>
      <c r="O33" s="15">
        <v>1</v>
      </c>
      <c r="P33" s="35">
        <v>150</v>
      </c>
      <c r="Q33" s="76">
        <f t="shared" si="1"/>
        <v>706962</v>
      </c>
    </row>
    <row r="34" spans="2:17" x14ac:dyDescent="0.3">
      <c r="B34" s="32"/>
      <c r="C34" s="15" t="s">
        <v>435</v>
      </c>
      <c r="D34" s="23">
        <f t="shared" si="0"/>
        <v>375</v>
      </c>
      <c r="E34" s="23">
        <f t="shared" si="0"/>
        <v>375</v>
      </c>
      <c r="F34" s="23">
        <f t="shared" si="0"/>
        <v>525</v>
      </c>
      <c r="G34" s="66">
        <f t="shared" si="0"/>
        <v>900</v>
      </c>
      <c r="H34" s="21"/>
      <c r="I34" s="21"/>
      <c r="J34" s="32"/>
      <c r="K34" s="15" t="s">
        <v>435</v>
      </c>
      <c r="L34" s="15">
        <v>2.5</v>
      </c>
      <c r="M34" s="15">
        <v>2.5</v>
      </c>
      <c r="N34" s="15">
        <v>3.5</v>
      </c>
      <c r="O34" s="15">
        <v>6</v>
      </c>
      <c r="P34" s="35">
        <v>150</v>
      </c>
      <c r="Q34" s="76">
        <f t="shared" si="1"/>
        <v>706962</v>
      </c>
    </row>
    <row r="35" spans="2:17" x14ac:dyDescent="0.3">
      <c r="B35" s="32"/>
      <c r="C35" s="15" t="s">
        <v>238</v>
      </c>
      <c r="D35" s="23">
        <f t="shared" si="0"/>
        <v>150</v>
      </c>
      <c r="E35" s="23">
        <f t="shared" si="0"/>
        <v>150</v>
      </c>
      <c r="F35" s="23">
        <f t="shared" si="0"/>
        <v>150</v>
      </c>
      <c r="G35" s="66">
        <f t="shared" si="0"/>
        <v>300</v>
      </c>
      <c r="H35" s="21"/>
      <c r="I35" s="21"/>
      <c r="J35" s="32"/>
      <c r="K35" s="15" t="s">
        <v>238</v>
      </c>
      <c r="L35" s="15">
        <v>1</v>
      </c>
      <c r="M35" s="15">
        <v>1</v>
      </c>
      <c r="N35" s="15">
        <v>1</v>
      </c>
      <c r="O35" s="15">
        <v>2</v>
      </c>
      <c r="P35" s="35">
        <v>150</v>
      </c>
      <c r="Q35" s="76">
        <f t="shared" si="1"/>
        <v>706962</v>
      </c>
    </row>
    <row r="36" spans="2:17" x14ac:dyDescent="0.3">
      <c r="B36" s="32"/>
      <c r="C36" s="15" t="s">
        <v>239</v>
      </c>
      <c r="D36" s="23">
        <f t="shared" si="0"/>
        <v>150</v>
      </c>
      <c r="E36" s="23">
        <f t="shared" si="0"/>
        <v>150</v>
      </c>
      <c r="F36" s="23">
        <f t="shared" si="0"/>
        <v>150</v>
      </c>
      <c r="G36" s="66">
        <f t="shared" si="0"/>
        <v>300</v>
      </c>
      <c r="H36" s="21"/>
      <c r="I36" s="21"/>
      <c r="J36" s="32"/>
      <c r="K36" s="15" t="s">
        <v>239</v>
      </c>
      <c r="L36" s="27">
        <v>1</v>
      </c>
      <c r="M36" s="27">
        <v>1</v>
      </c>
      <c r="N36" s="27">
        <v>1</v>
      </c>
      <c r="O36" s="27">
        <v>2</v>
      </c>
      <c r="P36" s="35">
        <v>150</v>
      </c>
      <c r="Q36" s="76">
        <f t="shared" si="1"/>
        <v>706962</v>
      </c>
    </row>
    <row r="37" spans="2:17" x14ac:dyDescent="0.3">
      <c r="B37" s="32"/>
      <c r="C37" s="15" t="s">
        <v>240</v>
      </c>
      <c r="D37" s="23">
        <f t="shared" si="0"/>
        <v>150</v>
      </c>
      <c r="E37" s="23">
        <f t="shared" si="0"/>
        <v>150</v>
      </c>
      <c r="F37" s="23">
        <f t="shared" si="0"/>
        <v>150</v>
      </c>
      <c r="G37" s="66">
        <f t="shared" si="0"/>
        <v>300</v>
      </c>
      <c r="H37" s="21"/>
      <c r="I37" s="21"/>
      <c r="J37" s="32"/>
      <c r="K37" s="15" t="s">
        <v>240</v>
      </c>
      <c r="L37" s="27">
        <v>1</v>
      </c>
      <c r="M37" s="27">
        <v>1</v>
      </c>
      <c r="N37" s="27">
        <v>1</v>
      </c>
      <c r="O37" s="27">
        <v>2</v>
      </c>
      <c r="P37" s="35">
        <v>150</v>
      </c>
      <c r="Q37" s="76">
        <f t="shared" si="1"/>
        <v>706962</v>
      </c>
    </row>
    <row r="38" spans="2:17" x14ac:dyDescent="0.3">
      <c r="B38" s="32"/>
      <c r="C38" s="15" t="s">
        <v>261</v>
      </c>
      <c r="D38" s="23">
        <f t="shared" si="0"/>
        <v>1880</v>
      </c>
      <c r="E38" s="23">
        <f t="shared" si="0"/>
        <v>1880</v>
      </c>
      <c r="F38" s="23">
        <f t="shared" si="0"/>
        <v>2160</v>
      </c>
      <c r="G38" s="66">
        <f t="shared" si="0"/>
        <v>4560</v>
      </c>
      <c r="H38" s="21"/>
      <c r="I38" s="21"/>
      <c r="J38" s="32"/>
      <c r="K38" s="15" t="s">
        <v>261</v>
      </c>
      <c r="L38" s="15">
        <v>9.4</v>
      </c>
      <c r="M38" s="15">
        <v>9.4</v>
      </c>
      <c r="N38" s="15">
        <v>10.8</v>
      </c>
      <c r="O38" s="15">
        <v>22.8</v>
      </c>
      <c r="P38" s="35">
        <v>200</v>
      </c>
      <c r="Q38" s="76">
        <f t="shared" si="1"/>
        <v>942616</v>
      </c>
    </row>
    <row r="39" spans="2:17" x14ac:dyDescent="0.3">
      <c r="B39" s="32"/>
      <c r="C39" s="15" t="s">
        <v>436</v>
      </c>
      <c r="D39" s="23">
        <f t="shared" si="0"/>
        <v>0</v>
      </c>
      <c r="E39" s="23">
        <f t="shared" si="0"/>
        <v>0</v>
      </c>
      <c r="F39" s="23">
        <f t="shared" si="0"/>
        <v>3000</v>
      </c>
      <c r="G39" s="66">
        <f t="shared" si="0"/>
        <v>3400</v>
      </c>
      <c r="H39" s="21"/>
      <c r="I39" s="21"/>
      <c r="J39" s="32"/>
      <c r="K39" s="15" t="s">
        <v>436</v>
      </c>
      <c r="L39" s="15">
        <v>0</v>
      </c>
      <c r="M39" s="15">
        <v>0</v>
      </c>
      <c r="N39" s="15">
        <v>7.5</v>
      </c>
      <c r="O39" s="15">
        <v>8.5</v>
      </c>
      <c r="P39" s="35">
        <v>400</v>
      </c>
      <c r="Q39" s="76">
        <f t="shared" si="1"/>
        <v>1885232</v>
      </c>
    </row>
    <row r="40" spans="2:17" ht="22.5" x14ac:dyDescent="0.45">
      <c r="B40" s="71" t="s">
        <v>47</v>
      </c>
      <c r="C40" s="72" t="s">
        <v>264</v>
      </c>
      <c r="D40" s="23"/>
      <c r="E40" s="23"/>
      <c r="F40" s="23"/>
      <c r="G40" s="66"/>
      <c r="H40" s="21"/>
      <c r="I40" s="21"/>
      <c r="J40" s="32" t="s">
        <v>47</v>
      </c>
      <c r="K40" s="15" t="s">
        <v>264</v>
      </c>
      <c r="L40" s="15"/>
      <c r="M40" s="15"/>
      <c r="N40" s="15"/>
      <c r="O40" s="15"/>
      <c r="P40" s="35"/>
    </row>
    <row r="41" spans="2:17" ht="22.5" x14ac:dyDescent="0.45">
      <c r="B41" s="71"/>
      <c r="C41" s="72" t="s">
        <v>437</v>
      </c>
      <c r="D41" s="23"/>
      <c r="E41" s="23"/>
      <c r="F41" s="23"/>
      <c r="G41" s="66"/>
      <c r="H41" s="21"/>
      <c r="I41" s="21"/>
      <c r="J41" s="32"/>
      <c r="K41" s="15" t="s">
        <v>437</v>
      </c>
      <c r="L41" s="15"/>
      <c r="M41" s="15"/>
      <c r="N41" s="15"/>
      <c r="O41" s="15"/>
      <c r="P41" s="35"/>
    </row>
    <row r="42" spans="2:17" ht="23" thickBot="1" x14ac:dyDescent="0.5">
      <c r="B42" s="71"/>
      <c r="C42" s="72" t="s">
        <v>438</v>
      </c>
      <c r="D42" s="23"/>
      <c r="E42" s="23"/>
      <c r="F42" s="23"/>
      <c r="G42" s="66"/>
      <c r="H42" s="21"/>
      <c r="I42" s="21"/>
      <c r="J42" s="19"/>
      <c r="K42" s="36" t="s">
        <v>438</v>
      </c>
      <c r="L42" s="36"/>
      <c r="M42" s="36"/>
      <c r="N42" s="36"/>
      <c r="O42" s="36"/>
      <c r="P42" s="37"/>
    </row>
    <row r="43" spans="2:17" ht="23.5" thickBot="1" x14ac:dyDescent="0.55000000000000004">
      <c r="B43" s="400" t="s">
        <v>52</v>
      </c>
      <c r="C43" s="401"/>
      <c r="D43" s="61">
        <f>SUM(D10:D42)</f>
        <v>3417.2530000000002</v>
      </c>
      <c r="E43" s="61">
        <f>SUM(E10:E42)</f>
        <v>3417.2530000000002</v>
      </c>
      <c r="F43" s="61">
        <f>SUM(F10:F42)</f>
        <v>6946.5749999999998</v>
      </c>
      <c r="G43" s="67">
        <f>SUM(G10:G42)</f>
        <v>10711.458000000001</v>
      </c>
      <c r="I43" s="21"/>
      <c r="P43" s="21"/>
    </row>
    <row r="48" spans="2:17" ht="14.5" thickBot="1" x14ac:dyDescent="0.35"/>
    <row r="49" spans="2:17" ht="23.5" thickBot="1" x14ac:dyDescent="0.55000000000000004">
      <c r="D49" s="404" t="s">
        <v>242</v>
      </c>
      <c r="E49" s="405"/>
      <c r="F49" s="405"/>
      <c r="G49" s="405"/>
      <c r="H49" s="55"/>
      <c r="I49" s="52"/>
      <c r="L49" s="404" t="s">
        <v>242</v>
      </c>
      <c r="M49" s="405"/>
      <c r="N49" s="405"/>
      <c r="O49" s="405"/>
      <c r="P49" s="38" t="s">
        <v>211</v>
      </c>
    </row>
    <row r="50" spans="2:17" ht="14.5" thickBot="1" x14ac:dyDescent="0.35"/>
    <row r="51" spans="2:17" ht="23.5" thickBot="1" x14ac:dyDescent="0.55000000000000004">
      <c r="B51" s="28"/>
      <c r="C51" s="29"/>
      <c r="D51" s="30" t="s">
        <v>243</v>
      </c>
      <c r="E51" s="30" t="s">
        <v>434</v>
      </c>
      <c r="F51" s="30" t="s">
        <v>244</v>
      </c>
      <c r="G51" s="56" t="s">
        <v>245</v>
      </c>
      <c r="H51" s="70">
        <v>0.45</v>
      </c>
      <c r="I51" s="13"/>
      <c r="J51" s="68"/>
      <c r="K51" s="29"/>
      <c r="L51" s="30" t="s">
        <v>243</v>
      </c>
      <c r="M51" s="30" t="s">
        <v>434</v>
      </c>
      <c r="N51" s="30" t="s">
        <v>244</v>
      </c>
      <c r="O51" s="30" t="s">
        <v>245</v>
      </c>
      <c r="P51" s="31" t="s">
        <v>246</v>
      </c>
    </row>
    <row r="52" spans="2:17" x14ac:dyDescent="0.3">
      <c r="B52" s="396" t="s">
        <v>213</v>
      </c>
      <c r="C52" s="15"/>
      <c r="D52" s="15"/>
      <c r="E52" s="15"/>
      <c r="F52" s="15"/>
      <c r="G52" s="33"/>
      <c r="J52" s="397" t="s">
        <v>213</v>
      </c>
      <c r="K52" s="15"/>
      <c r="L52" s="15"/>
      <c r="M52" s="15"/>
      <c r="N52" s="15"/>
      <c r="O52" s="15"/>
      <c r="P52" s="33"/>
    </row>
    <row r="53" spans="2:17" x14ac:dyDescent="0.3">
      <c r="B53" s="396"/>
      <c r="C53" s="15" t="s">
        <v>215</v>
      </c>
      <c r="D53" s="23">
        <f>L53*$P53</f>
        <v>13.39</v>
      </c>
      <c r="E53" s="23">
        <f>M53*$P53</f>
        <v>13.39</v>
      </c>
      <c r="F53" s="23">
        <f>N53*$P53</f>
        <v>19.57</v>
      </c>
      <c r="G53" s="34">
        <f>O53*$P53</f>
        <v>30.385000000000005</v>
      </c>
      <c r="H53" s="21"/>
      <c r="I53" s="21"/>
      <c r="J53" s="398"/>
      <c r="K53" s="15" t="s">
        <v>215</v>
      </c>
      <c r="L53" s="15">
        <v>2.6</v>
      </c>
      <c r="M53" s="15">
        <v>2.6</v>
      </c>
      <c r="N53" s="15">
        <v>3.8</v>
      </c>
      <c r="O53" s="15">
        <v>5.9</v>
      </c>
      <c r="P53" s="34">
        <v>5.15</v>
      </c>
      <c r="Q53" s="76">
        <f>P53*$Q$6</f>
        <v>24272.362000000001</v>
      </c>
    </row>
    <row r="54" spans="2:17" x14ac:dyDescent="0.3">
      <c r="B54" s="396"/>
      <c r="C54" s="15" t="s">
        <v>247</v>
      </c>
      <c r="D54" s="23">
        <f t="shared" ref="D54:G84" si="2">L54*$P54</f>
        <v>6.3279999999999994</v>
      </c>
      <c r="E54" s="23">
        <f t="shared" si="2"/>
        <v>6.3279999999999994</v>
      </c>
      <c r="F54" s="23">
        <f t="shared" si="2"/>
        <v>12.43</v>
      </c>
      <c r="G54" s="34">
        <f t="shared" si="2"/>
        <v>19.887999999999998</v>
      </c>
      <c r="H54" s="21"/>
      <c r="I54" s="3"/>
      <c r="J54" s="398"/>
      <c r="K54" s="15" t="s">
        <v>247</v>
      </c>
      <c r="L54" s="15">
        <v>2.8</v>
      </c>
      <c r="M54" s="15">
        <v>2.8</v>
      </c>
      <c r="N54" s="15">
        <v>5.5</v>
      </c>
      <c r="O54" s="15">
        <v>8.8000000000000007</v>
      </c>
      <c r="P54" s="3">
        <v>2.2599999999999998</v>
      </c>
      <c r="Q54" s="76">
        <f t="shared" ref="Q54:Q84" si="3">P54*$Q$6</f>
        <v>10651.560799999999</v>
      </c>
    </row>
    <row r="55" spans="2:17" x14ac:dyDescent="0.3">
      <c r="B55" s="396"/>
      <c r="C55" s="15" t="s">
        <v>217</v>
      </c>
      <c r="D55" s="23">
        <f t="shared" si="2"/>
        <v>14.42</v>
      </c>
      <c r="E55" s="23">
        <f t="shared" si="2"/>
        <v>14.42</v>
      </c>
      <c r="F55" s="23">
        <f t="shared" si="2"/>
        <v>21.630000000000003</v>
      </c>
      <c r="G55" s="34">
        <f t="shared" si="2"/>
        <v>36.564999999999998</v>
      </c>
      <c r="H55" s="21"/>
      <c r="I55" s="21"/>
      <c r="J55" s="398"/>
      <c r="K55" s="15" t="s">
        <v>217</v>
      </c>
      <c r="L55" s="15">
        <v>2.8</v>
      </c>
      <c r="M55" s="15">
        <v>2.8</v>
      </c>
      <c r="N55" s="15">
        <v>4.2</v>
      </c>
      <c r="O55" s="15">
        <v>7.1</v>
      </c>
      <c r="P55" s="34">
        <v>5.15</v>
      </c>
      <c r="Q55" s="76">
        <f t="shared" si="3"/>
        <v>24272.362000000001</v>
      </c>
    </row>
    <row r="56" spans="2:17" x14ac:dyDescent="0.3">
      <c r="B56" s="396"/>
      <c r="C56" s="15" t="s">
        <v>218</v>
      </c>
      <c r="D56" s="23">
        <f t="shared" si="2"/>
        <v>35</v>
      </c>
      <c r="E56" s="23">
        <f t="shared" si="2"/>
        <v>35</v>
      </c>
      <c r="F56" s="23">
        <f t="shared" si="2"/>
        <v>36</v>
      </c>
      <c r="G56" s="34">
        <f t="shared" si="2"/>
        <v>72</v>
      </c>
      <c r="H56" s="21"/>
      <c r="I56" s="21"/>
      <c r="J56" s="399"/>
      <c r="K56" s="15" t="s">
        <v>218</v>
      </c>
      <c r="L56" s="15">
        <v>3.5</v>
      </c>
      <c r="M56" s="15">
        <v>3.5</v>
      </c>
      <c r="N56" s="15">
        <v>3.6</v>
      </c>
      <c r="O56" s="15">
        <v>7.2</v>
      </c>
      <c r="P56" s="35">
        <v>10</v>
      </c>
      <c r="Q56" s="76">
        <f t="shared" si="3"/>
        <v>47130.8</v>
      </c>
    </row>
    <row r="57" spans="2:17" x14ac:dyDescent="0.3">
      <c r="B57" s="32" t="s">
        <v>219</v>
      </c>
      <c r="C57" s="15"/>
      <c r="D57" s="23">
        <f t="shared" si="2"/>
        <v>0</v>
      </c>
      <c r="E57" s="23">
        <f t="shared" si="2"/>
        <v>0</v>
      </c>
      <c r="F57" s="23">
        <f t="shared" si="2"/>
        <v>0</v>
      </c>
      <c r="G57" s="34">
        <f t="shared" si="2"/>
        <v>0</v>
      </c>
      <c r="H57" s="21"/>
      <c r="I57" s="21"/>
      <c r="J57" s="63" t="s">
        <v>219</v>
      </c>
      <c r="K57" s="15"/>
      <c r="L57" s="15"/>
      <c r="M57" s="15"/>
      <c r="N57" s="15"/>
      <c r="O57" s="15"/>
      <c r="P57" s="34"/>
      <c r="Q57" s="76">
        <f t="shared" si="3"/>
        <v>0</v>
      </c>
    </row>
    <row r="58" spans="2:17" x14ac:dyDescent="0.3">
      <c r="B58" s="32"/>
      <c r="C58" s="15" t="s">
        <v>121</v>
      </c>
      <c r="D58" s="23">
        <f t="shared" si="2"/>
        <v>14.05</v>
      </c>
      <c r="E58" s="23">
        <f t="shared" si="2"/>
        <v>14.05</v>
      </c>
      <c r="F58" s="23">
        <f t="shared" si="2"/>
        <v>19.670000000000002</v>
      </c>
      <c r="G58" s="34">
        <f t="shared" si="2"/>
        <v>22.48</v>
      </c>
      <c r="H58" s="21"/>
      <c r="I58" s="21"/>
      <c r="J58" s="63"/>
      <c r="K58" s="15" t="s">
        <v>121</v>
      </c>
      <c r="L58" s="15">
        <v>2.5</v>
      </c>
      <c r="M58" s="15">
        <v>2.5</v>
      </c>
      <c r="N58" s="15">
        <v>3.5</v>
      </c>
      <c r="O58" s="15">
        <v>4</v>
      </c>
      <c r="P58" s="34">
        <v>5.62</v>
      </c>
      <c r="Q58" s="76">
        <f t="shared" si="3"/>
        <v>26487.509600000001</v>
      </c>
    </row>
    <row r="59" spans="2:17" x14ac:dyDescent="0.3">
      <c r="B59" s="32"/>
      <c r="C59" s="15" t="s">
        <v>221</v>
      </c>
      <c r="D59" s="23">
        <f t="shared" si="2"/>
        <v>39.31</v>
      </c>
      <c r="E59" s="23">
        <f t="shared" si="2"/>
        <v>39.31</v>
      </c>
      <c r="F59" s="23">
        <f t="shared" si="2"/>
        <v>39.31</v>
      </c>
      <c r="G59" s="34">
        <f t="shared" si="2"/>
        <v>39.31</v>
      </c>
      <c r="H59" s="21"/>
      <c r="I59" s="21"/>
      <c r="J59" s="63"/>
      <c r="K59" s="15" t="s">
        <v>221</v>
      </c>
      <c r="L59" s="15">
        <v>1</v>
      </c>
      <c r="M59" s="15">
        <v>1</v>
      </c>
      <c r="N59" s="15">
        <v>1</v>
      </c>
      <c r="O59" s="15">
        <v>1</v>
      </c>
      <c r="P59" s="34">
        <v>39.31</v>
      </c>
      <c r="Q59" s="76">
        <f t="shared" si="3"/>
        <v>185271.17480000001</v>
      </c>
    </row>
    <row r="60" spans="2:17" x14ac:dyDescent="0.3">
      <c r="B60" s="32"/>
      <c r="C60" s="15" t="s">
        <v>222</v>
      </c>
      <c r="D60" s="23">
        <f t="shared" si="2"/>
        <v>94.25</v>
      </c>
      <c r="E60" s="23">
        <f t="shared" si="2"/>
        <v>94.25</v>
      </c>
      <c r="F60" s="23">
        <f t="shared" si="2"/>
        <v>131.95000000000002</v>
      </c>
      <c r="G60" s="34">
        <f t="shared" si="2"/>
        <v>150.80000000000001</v>
      </c>
      <c r="H60" s="21"/>
      <c r="I60" s="21"/>
      <c r="J60" s="63"/>
      <c r="K60" s="15" t="s">
        <v>222</v>
      </c>
      <c r="L60" s="15">
        <v>2.5</v>
      </c>
      <c r="M60" s="15">
        <v>2.5</v>
      </c>
      <c r="N60" s="15">
        <v>3.5</v>
      </c>
      <c r="O60" s="15">
        <v>4</v>
      </c>
      <c r="P60" s="34">
        <v>37.700000000000003</v>
      </c>
      <c r="Q60" s="76">
        <f t="shared" si="3"/>
        <v>177683.11600000001</v>
      </c>
    </row>
    <row r="61" spans="2:17" x14ac:dyDescent="0.3">
      <c r="B61" s="32"/>
      <c r="C61" s="15" t="s">
        <v>128</v>
      </c>
      <c r="D61" s="23">
        <f t="shared" si="2"/>
        <v>26.03</v>
      </c>
      <c r="E61" s="23">
        <f t="shared" si="2"/>
        <v>26.03</v>
      </c>
      <c r="F61" s="23">
        <f t="shared" si="2"/>
        <v>26.03</v>
      </c>
      <c r="G61" s="34">
        <f t="shared" si="2"/>
        <v>52.06</v>
      </c>
      <c r="H61" s="21"/>
      <c r="I61" s="21"/>
      <c r="J61" s="63"/>
      <c r="K61" s="15" t="s">
        <v>128</v>
      </c>
      <c r="L61" s="15">
        <v>1</v>
      </c>
      <c r="M61" s="15">
        <v>1</v>
      </c>
      <c r="N61" s="15">
        <v>1</v>
      </c>
      <c r="O61" s="15">
        <v>2</v>
      </c>
      <c r="P61" s="34">
        <v>26.03</v>
      </c>
      <c r="Q61" s="76">
        <f t="shared" si="3"/>
        <v>122681.4724</v>
      </c>
    </row>
    <row r="62" spans="2:17" x14ac:dyDescent="0.3">
      <c r="B62" s="32"/>
      <c r="C62" s="15" t="s">
        <v>223</v>
      </c>
      <c r="D62" s="23">
        <f t="shared" si="2"/>
        <v>11.35</v>
      </c>
      <c r="E62" s="23">
        <f t="shared" si="2"/>
        <v>11.35</v>
      </c>
      <c r="F62" s="23">
        <f t="shared" si="2"/>
        <v>15.89</v>
      </c>
      <c r="G62" s="34">
        <f t="shared" si="2"/>
        <v>18.16</v>
      </c>
      <c r="H62" s="21"/>
      <c r="I62" s="21"/>
      <c r="J62" s="63"/>
      <c r="K62" s="15" t="s">
        <v>223</v>
      </c>
      <c r="L62" s="15">
        <v>2.5</v>
      </c>
      <c r="M62" s="15">
        <v>2.5</v>
      </c>
      <c r="N62" s="15">
        <v>3.5</v>
      </c>
      <c r="O62" s="15">
        <v>4</v>
      </c>
      <c r="P62" s="34">
        <v>4.54</v>
      </c>
      <c r="Q62" s="76">
        <f t="shared" si="3"/>
        <v>21397.3832</v>
      </c>
    </row>
    <row r="63" spans="2:17" x14ac:dyDescent="0.3">
      <c r="B63" s="32"/>
      <c r="C63" s="24" t="s">
        <v>134</v>
      </c>
      <c r="D63" s="23">
        <f t="shared" si="2"/>
        <v>5.3249999999999993</v>
      </c>
      <c r="E63" s="23">
        <f t="shared" si="2"/>
        <v>5.3249999999999993</v>
      </c>
      <c r="F63" s="23">
        <f t="shared" si="2"/>
        <v>7.4550000000000001</v>
      </c>
      <c r="G63" s="34">
        <f t="shared" si="2"/>
        <v>8.52</v>
      </c>
      <c r="H63" s="21"/>
      <c r="I63" s="21"/>
      <c r="J63" s="63"/>
      <c r="K63" s="24" t="s">
        <v>134</v>
      </c>
      <c r="L63" s="25">
        <v>2.5</v>
      </c>
      <c r="M63" s="25">
        <v>2.5</v>
      </c>
      <c r="N63" s="25">
        <v>3.5</v>
      </c>
      <c r="O63" s="25">
        <v>4</v>
      </c>
      <c r="P63" s="35">
        <v>2.13</v>
      </c>
      <c r="Q63" s="76">
        <f t="shared" si="3"/>
        <v>10038.8604</v>
      </c>
    </row>
    <row r="64" spans="2:17" x14ac:dyDescent="0.3">
      <c r="B64" s="32"/>
      <c r="C64" s="26" t="s">
        <v>224</v>
      </c>
      <c r="D64" s="23">
        <f t="shared" si="2"/>
        <v>5.3249999999999993</v>
      </c>
      <c r="E64" s="23">
        <f t="shared" si="2"/>
        <v>5.3249999999999993</v>
      </c>
      <c r="F64" s="23">
        <f t="shared" si="2"/>
        <v>7.4550000000000001</v>
      </c>
      <c r="G64" s="34">
        <f t="shared" si="2"/>
        <v>8.52</v>
      </c>
      <c r="H64" s="21"/>
      <c r="I64" s="21"/>
      <c r="J64" s="63"/>
      <c r="K64" s="26" t="s">
        <v>224</v>
      </c>
      <c r="L64" s="25">
        <v>2.5</v>
      </c>
      <c r="M64" s="25">
        <v>2.5</v>
      </c>
      <c r="N64" s="25">
        <v>3.5</v>
      </c>
      <c r="O64" s="25">
        <v>4</v>
      </c>
      <c r="P64" s="34">
        <v>2.13</v>
      </c>
      <c r="Q64" s="76">
        <f t="shared" si="3"/>
        <v>10038.8604</v>
      </c>
    </row>
    <row r="65" spans="2:17" x14ac:dyDescent="0.3">
      <c r="B65" s="32"/>
      <c r="C65" s="26" t="s">
        <v>225</v>
      </c>
      <c r="D65" s="23">
        <f t="shared" si="2"/>
        <v>6.125</v>
      </c>
      <c r="E65" s="23">
        <f t="shared" si="2"/>
        <v>6.125</v>
      </c>
      <c r="F65" s="23">
        <f t="shared" si="2"/>
        <v>8.5750000000000011</v>
      </c>
      <c r="G65" s="34">
        <f t="shared" si="2"/>
        <v>9.8000000000000007</v>
      </c>
      <c r="H65" s="21"/>
      <c r="I65" s="21"/>
      <c r="J65" s="63"/>
      <c r="K65" s="26" t="s">
        <v>225</v>
      </c>
      <c r="L65" s="25">
        <v>2.5</v>
      </c>
      <c r="M65" s="25">
        <v>2.5</v>
      </c>
      <c r="N65" s="25">
        <v>3.5</v>
      </c>
      <c r="O65" s="25">
        <v>4</v>
      </c>
      <c r="P65" s="34">
        <v>2.4500000000000002</v>
      </c>
      <c r="Q65" s="76">
        <f t="shared" si="3"/>
        <v>11547.046</v>
      </c>
    </row>
    <row r="66" spans="2:17" x14ac:dyDescent="0.3">
      <c r="B66" s="32"/>
      <c r="C66" s="26" t="s">
        <v>226</v>
      </c>
      <c r="D66" s="23">
        <f t="shared" si="2"/>
        <v>8.625</v>
      </c>
      <c r="E66" s="23">
        <f t="shared" si="2"/>
        <v>8.625</v>
      </c>
      <c r="F66" s="23">
        <f t="shared" si="2"/>
        <v>12.075000000000001</v>
      </c>
      <c r="G66" s="34">
        <f t="shared" si="2"/>
        <v>13.8</v>
      </c>
      <c r="H66" s="21"/>
      <c r="I66" s="21"/>
      <c r="J66" s="63"/>
      <c r="K66" s="26" t="s">
        <v>226</v>
      </c>
      <c r="L66" s="25">
        <v>2.5</v>
      </c>
      <c r="M66" s="25">
        <v>2.5</v>
      </c>
      <c r="N66" s="25">
        <v>3.5</v>
      </c>
      <c r="O66" s="25">
        <v>4</v>
      </c>
      <c r="P66" s="34">
        <v>3.45</v>
      </c>
      <c r="Q66" s="76">
        <f t="shared" si="3"/>
        <v>16260.126</v>
      </c>
    </row>
    <row r="67" spans="2:17" ht="28" x14ac:dyDescent="0.3">
      <c r="B67" s="32"/>
      <c r="C67" s="26" t="s">
        <v>227</v>
      </c>
      <c r="D67" s="23">
        <f t="shared" si="2"/>
        <v>4.6750000000000007</v>
      </c>
      <c r="E67" s="23">
        <f t="shared" si="2"/>
        <v>4.6750000000000007</v>
      </c>
      <c r="F67" s="23">
        <f t="shared" si="2"/>
        <v>6.5449999999999999</v>
      </c>
      <c r="G67" s="34">
        <f t="shared" si="2"/>
        <v>7.48</v>
      </c>
      <c r="H67" s="21"/>
      <c r="I67" s="21"/>
      <c r="J67" s="63"/>
      <c r="K67" s="26" t="s">
        <v>227</v>
      </c>
      <c r="L67" s="25">
        <v>2.5</v>
      </c>
      <c r="M67" s="25">
        <v>2.5</v>
      </c>
      <c r="N67" s="25">
        <v>3.5</v>
      </c>
      <c r="O67" s="25">
        <v>4</v>
      </c>
      <c r="P67" s="34">
        <v>1.87</v>
      </c>
      <c r="Q67" s="76">
        <f t="shared" si="3"/>
        <v>8813.4596000000001</v>
      </c>
    </row>
    <row r="68" spans="2:17" ht="28" x14ac:dyDescent="0.3">
      <c r="B68" s="32"/>
      <c r="C68" s="26" t="s">
        <v>228</v>
      </c>
      <c r="D68" s="23">
        <f t="shared" si="2"/>
        <v>4.6750000000000007</v>
      </c>
      <c r="E68" s="23">
        <f t="shared" si="2"/>
        <v>4.6750000000000007</v>
      </c>
      <c r="F68" s="23">
        <f t="shared" si="2"/>
        <v>6.5449999999999999</v>
      </c>
      <c r="G68" s="34">
        <f t="shared" si="2"/>
        <v>7.48</v>
      </c>
      <c r="H68" s="21"/>
      <c r="I68" s="21"/>
      <c r="J68" s="63"/>
      <c r="K68" s="26" t="s">
        <v>228</v>
      </c>
      <c r="L68" s="25">
        <v>2.5</v>
      </c>
      <c r="M68" s="25">
        <v>2.5</v>
      </c>
      <c r="N68" s="25">
        <v>3.5</v>
      </c>
      <c r="O68" s="25">
        <v>4</v>
      </c>
      <c r="P68" s="34">
        <v>1.87</v>
      </c>
      <c r="Q68" s="76">
        <f t="shared" si="3"/>
        <v>8813.4596000000001</v>
      </c>
    </row>
    <row r="69" spans="2:17" x14ac:dyDescent="0.3">
      <c r="B69" s="32"/>
      <c r="C69" s="26" t="s">
        <v>229</v>
      </c>
      <c r="D69" s="23">
        <f t="shared" si="2"/>
        <v>0</v>
      </c>
      <c r="E69" s="23">
        <f t="shared" si="2"/>
        <v>0</v>
      </c>
      <c r="F69" s="23">
        <f t="shared" si="2"/>
        <v>0</v>
      </c>
      <c r="G69" s="34">
        <f t="shared" si="2"/>
        <v>0</v>
      </c>
      <c r="H69" s="21"/>
      <c r="I69" s="21"/>
      <c r="J69" s="63"/>
      <c r="K69" s="26" t="s">
        <v>229</v>
      </c>
      <c r="L69" s="25">
        <v>2.5</v>
      </c>
      <c r="M69" s="25">
        <v>2.5</v>
      </c>
      <c r="N69" s="25">
        <v>3.5</v>
      </c>
      <c r="O69" s="25">
        <v>4</v>
      </c>
      <c r="P69" s="34"/>
      <c r="Q69" s="76">
        <f t="shared" si="3"/>
        <v>0</v>
      </c>
    </row>
    <row r="70" spans="2:17" x14ac:dyDescent="0.3">
      <c r="B70" s="32"/>
      <c r="C70" s="26" t="s">
        <v>230</v>
      </c>
      <c r="D70" s="23">
        <f t="shared" si="2"/>
        <v>5.1749999999999998</v>
      </c>
      <c r="E70" s="23">
        <f t="shared" si="2"/>
        <v>5.1749999999999998</v>
      </c>
      <c r="F70" s="23">
        <f t="shared" si="2"/>
        <v>7.2449999999999992</v>
      </c>
      <c r="G70" s="34">
        <f t="shared" si="2"/>
        <v>8.2799999999999994</v>
      </c>
      <c r="H70" s="21"/>
      <c r="I70" s="21"/>
      <c r="J70" s="63"/>
      <c r="K70" s="26" t="s">
        <v>230</v>
      </c>
      <c r="L70" s="25">
        <v>2.5</v>
      </c>
      <c r="M70" s="25">
        <v>2.5</v>
      </c>
      <c r="N70" s="25">
        <v>3.5</v>
      </c>
      <c r="O70" s="25">
        <v>4</v>
      </c>
      <c r="P70" s="34">
        <v>2.0699999999999998</v>
      </c>
      <c r="Q70" s="76">
        <f t="shared" si="3"/>
        <v>9756.0755999999983</v>
      </c>
    </row>
    <row r="71" spans="2:17" x14ac:dyDescent="0.3">
      <c r="B71" s="32"/>
      <c r="C71" s="26" t="s">
        <v>143</v>
      </c>
      <c r="D71" s="23">
        <f t="shared" si="2"/>
        <v>37.5</v>
      </c>
      <c r="E71" s="23">
        <f t="shared" si="2"/>
        <v>37.5</v>
      </c>
      <c r="F71" s="23">
        <f t="shared" si="2"/>
        <v>52.5</v>
      </c>
      <c r="G71" s="34">
        <f t="shared" si="2"/>
        <v>60</v>
      </c>
      <c r="H71" s="21"/>
      <c r="I71" s="21"/>
      <c r="J71" s="63"/>
      <c r="K71" s="26" t="s">
        <v>143</v>
      </c>
      <c r="L71" s="25">
        <v>2.5</v>
      </c>
      <c r="M71" s="25">
        <v>2.5</v>
      </c>
      <c r="N71" s="25">
        <v>3.5</v>
      </c>
      <c r="O71" s="25">
        <v>4</v>
      </c>
      <c r="P71" s="35">
        <v>15</v>
      </c>
      <c r="Q71" s="76">
        <f t="shared" si="3"/>
        <v>70696.2</v>
      </c>
    </row>
    <row r="72" spans="2:17" x14ac:dyDescent="0.3">
      <c r="B72" s="32" t="s">
        <v>231</v>
      </c>
      <c r="C72" s="26" t="s">
        <v>232</v>
      </c>
      <c r="D72" s="23">
        <f t="shared" si="2"/>
        <v>9.8800000000000008</v>
      </c>
      <c r="E72" s="23">
        <f t="shared" si="2"/>
        <v>9.8800000000000008</v>
      </c>
      <c r="F72" s="23">
        <f t="shared" si="2"/>
        <v>9.8800000000000008</v>
      </c>
      <c r="G72" s="34">
        <f t="shared" si="2"/>
        <v>9.8800000000000008</v>
      </c>
      <c r="H72" s="21"/>
      <c r="I72" s="21"/>
      <c r="J72" s="63" t="s">
        <v>231</v>
      </c>
      <c r="K72" s="26" t="s">
        <v>232</v>
      </c>
      <c r="L72" s="25">
        <v>1</v>
      </c>
      <c r="M72" s="25">
        <v>1</v>
      </c>
      <c r="N72" s="25">
        <v>1</v>
      </c>
      <c r="O72" s="25">
        <v>1</v>
      </c>
      <c r="P72" s="34">
        <v>9.8800000000000008</v>
      </c>
      <c r="Q72" s="76">
        <f t="shared" si="3"/>
        <v>46565.2304</v>
      </c>
    </row>
    <row r="73" spans="2:17" x14ac:dyDescent="0.3">
      <c r="B73" s="32"/>
      <c r="C73" s="26" t="s">
        <v>233</v>
      </c>
      <c r="D73" s="23">
        <f t="shared" si="2"/>
        <v>16.16</v>
      </c>
      <c r="E73" s="23">
        <f t="shared" si="2"/>
        <v>16.16</v>
      </c>
      <c r="F73" s="23">
        <f t="shared" si="2"/>
        <v>16.16</v>
      </c>
      <c r="G73" s="34">
        <f t="shared" si="2"/>
        <v>16.16</v>
      </c>
      <c r="H73" s="21"/>
      <c r="I73" s="21"/>
      <c r="J73" s="63"/>
      <c r="K73" s="26" t="s">
        <v>233</v>
      </c>
      <c r="L73" s="25">
        <v>1</v>
      </c>
      <c r="M73" s="25">
        <v>1</v>
      </c>
      <c r="N73" s="25">
        <v>1</v>
      </c>
      <c r="O73" s="25">
        <v>1</v>
      </c>
      <c r="P73" s="34">
        <v>16.16</v>
      </c>
      <c r="Q73" s="76">
        <f t="shared" si="3"/>
        <v>76163.372799999997</v>
      </c>
    </row>
    <row r="74" spans="2:17" x14ac:dyDescent="0.3">
      <c r="B74" s="32"/>
      <c r="C74" s="15" t="s">
        <v>234</v>
      </c>
      <c r="D74" s="23">
        <f t="shared" si="2"/>
        <v>5.23</v>
      </c>
      <c r="E74" s="23">
        <f t="shared" si="2"/>
        <v>5.23</v>
      </c>
      <c r="F74" s="23">
        <f t="shared" si="2"/>
        <v>5.23</v>
      </c>
      <c r="G74" s="34">
        <f t="shared" si="2"/>
        <v>10.46</v>
      </c>
      <c r="H74" s="21"/>
      <c r="I74" s="21"/>
      <c r="J74" s="63"/>
      <c r="K74" s="15" t="s">
        <v>234</v>
      </c>
      <c r="L74" s="15">
        <v>1</v>
      </c>
      <c r="M74" s="15">
        <v>1</v>
      </c>
      <c r="N74" s="15">
        <v>1</v>
      </c>
      <c r="O74" s="15">
        <v>2</v>
      </c>
      <c r="P74" s="34">
        <v>5.23</v>
      </c>
      <c r="Q74" s="76">
        <f t="shared" si="3"/>
        <v>24649.4084</v>
      </c>
    </row>
    <row r="75" spans="2:17" x14ac:dyDescent="0.3">
      <c r="B75" s="32" t="s">
        <v>235</v>
      </c>
      <c r="C75" s="15" t="s">
        <v>236</v>
      </c>
      <c r="D75" s="23">
        <f t="shared" si="2"/>
        <v>199.43</v>
      </c>
      <c r="E75" s="23">
        <f t="shared" si="2"/>
        <v>199.43</v>
      </c>
      <c r="F75" s="23">
        <f t="shared" si="2"/>
        <v>199.43</v>
      </c>
      <c r="G75" s="34">
        <f t="shared" si="2"/>
        <v>199.43</v>
      </c>
      <c r="H75" s="21"/>
      <c r="I75" s="21"/>
      <c r="J75" s="63" t="s">
        <v>235</v>
      </c>
      <c r="K75" s="15" t="s">
        <v>236</v>
      </c>
      <c r="L75" s="15">
        <v>1</v>
      </c>
      <c r="M75" s="15">
        <v>1</v>
      </c>
      <c r="N75" s="15">
        <v>1</v>
      </c>
      <c r="O75" s="15">
        <v>1</v>
      </c>
      <c r="P75" s="34">
        <v>199.43</v>
      </c>
      <c r="Q75" s="76">
        <f t="shared" si="3"/>
        <v>939929.54440000001</v>
      </c>
    </row>
    <row r="76" spans="2:17" x14ac:dyDescent="0.3">
      <c r="B76" s="32"/>
      <c r="C76" s="15" t="s">
        <v>237</v>
      </c>
      <c r="D76" s="23">
        <f t="shared" si="2"/>
        <v>150</v>
      </c>
      <c r="E76" s="23">
        <f t="shared" si="2"/>
        <v>150</v>
      </c>
      <c r="F76" s="23">
        <f t="shared" si="2"/>
        <v>150</v>
      </c>
      <c r="G76" s="34">
        <f t="shared" si="2"/>
        <v>150</v>
      </c>
      <c r="H76" s="21"/>
      <c r="I76" s="21"/>
      <c r="J76" s="63"/>
      <c r="K76" s="15" t="s">
        <v>237</v>
      </c>
      <c r="L76" s="15">
        <v>1</v>
      </c>
      <c r="M76" s="15">
        <v>1</v>
      </c>
      <c r="N76" s="15">
        <v>1</v>
      </c>
      <c r="O76" s="15">
        <v>1</v>
      </c>
      <c r="P76" s="35">
        <v>150</v>
      </c>
      <c r="Q76" s="76">
        <f t="shared" si="3"/>
        <v>706962</v>
      </c>
    </row>
    <row r="77" spans="2:17" x14ac:dyDescent="0.3">
      <c r="B77" s="32"/>
      <c r="C77" s="15" t="s">
        <v>435</v>
      </c>
      <c r="D77" s="23">
        <f t="shared" si="2"/>
        <v>375</v>
      </c>
      <c r="E77" s="23">
        <f t="shared" si="2"/>
        <v>375</v>
      </c>
      <c r="F77" s="23">
        <f t="shared" si="2"/>
        <v>525</v>
      </c>
      <c r="G77" s="34">
        <f t="shared" si="2"/>
        <v>900</v>
      </c>
      <c r="H77" s="21"/>
      <c r="I77" s="21"/>
      <c r="J77" s="63"/>
      <c r="K77" s="15" t="s">
        <v>435</v>
      </c>
      <c r="L77" s="15">
        <v>2.5</v>
      </c>
      <c r="M77" s="15">
        <v>2.5</v>
      </c>
      <c r="N77" s="15">
        <v>3.5</v>
      </c>
      <c r="O77" s="15">
        <v>6</v>
      </c>
      <c r="P77" s="35">
        <v>150</v>
      </c>
      <c r="Q77" s="76">
        <f t="shared" si="3"/>
        <v>706962</v>
      </c>
    </row>
    <row r="78" spans="2:17" x14ac:dyDescent="0.3">
      <c r="B78" s="32"/>
      <c r="C78" s="15" t="s">
        <v>238</v>
      </c>
      <c r="D78" s="23">
        <f t="shared" si="2"/>
        <v>150</v>
      </c>
      <c r="E78" s="23">
        <f t="shared" si="2"/>
        <v>150</v>
      </c>
      <c r="F78" s="23">
        <f t="shared" si="2"/>
        <v>150</v>
      </c>
      <c r="G78" s="34">
        <f t="shared" si="2"/>
        <v>300</v>
      </c>
      <c r="H78" s="21"/>
      <c r="I78" s="21"/>
      <c r="J78" s="63"/>
      <c r="K78" s="15" t="s">
        <v>238</v>
      </c>
      <c r="L78" s="15">
        <v>1</v>
      </c>
      <c r="M78" s="15">
        <v>1</v>
      </c>
      <c r="N78" s="15">
        <v>1</v>
      </c>
      <c r="O78" s="15">
        <v>2</v>
      </c>
      <c r="P78" s="35">
        <v>150</v>
      </c>
      <c r="Q78" s="76">
        <f t="shared" si="3"/>
        <v>706962</v>
      </c>
    </row>
    <row r="79" spans="2:17" x14ac:dyDescent="0.3">
      <c r="B79" s="32"/>
      <c r="C79" s="15" t="s">
        <v>239</v>
      </c>
      <c r="D79" s="23">
        <f t="shared" si="2"/>
        <v>150</v>
      </c>
      <c r="E79" s="23">
        <f t="shared" si="2"/>
        <v>150</v>
      </c>
      <c r="F79" s="23">
        <f t="shared" si="2"/>
        <v>150</v>
      </c>
      <c r="G79" s="34">
        <f t="shared" si="2"/>
        <v>300</v>
      </c>
      <c r="H79" s="21"/>
      <c r="I79" s="21"/>
      <c r="J79" s="63"/>
      <c r="K79" s="15" t="s">
        <v>239</v>
      </c>
      <c r="L79" s="27">
        <v>1</v>
      </c>
      <c r="M79" s="27">
        <v>1</v>
      </c>
      <c r="N79" s="27">
        <v>1</v>
      </c>
      <c r="O79" s="27">
        <v>2</v>
      </c>
      <c r="P79" s="35">
        <v>150</v>
      </c>
      <c r="Q79" s="76">
        <f t="shared" si="3"/>
        <v>706962</v>
      </c>
    </row>
    <row r="80" spans="2:17" x14ac:dyDescent="0.3">
      <c r="B80" s="32"/>
      <c r="C80" s="15" t="s">
        <v>240</v>
      </c>
      <c r="D80" s="23">
        <f t="shared" si="2"/>
        <v>150</v>
      </c>
      <c r="E80" s="23">
        <f t="shared" si="2"/>
        <v>150</v>
      </c>
      <c r="F80" s="23">
        <f t="shared" si="2"/>
        <v>150</v>
      </c>
      <c r="G80" s="34">
        <f t="shared" si="2"/>
        <v>300</v>
      </c>
      <c r="H80" s="21"/>
      <c r="I80" s="21"/>
      <c r="J80" s="63"/>
      <c r="K80" s="15" t="s">
        <v>240</v>
      </c>
      <c r="L80" s="27">
        <v>1</v>
      </c>
      <c r="M80" s="27">
        <v>1</v>
      </c>
      <c r="N80" s="27">
        <v>1</v>
      </c>
      <c r="O80" s="27">
        <v>2</v>
      </c>
      <c r="P80" s="35">
        <v>150</v>
      </c>
      <c r="Q80" s="76">
        <f t="shared" si="3"/>
        <v>706962</v>
      </c>
    </row>
    <row r="81" spans="2:17" x14ac:dyDescent="0.3">
      <c r="B81" s="32"/>
      <c r="C81" s="15" t="s">
        <v>439</v>
      </c>
      <c r="D81" s="23">
        <f t="shared" si="2"/>
        <v>1500</v>
      </c>
      <c r="E81" s="23">
        <f t="shared" si="2"/>
        <v>1500</v>
      </c>
      <c r="F81" s="23">
        <f t="shared" si="2"/>
        <v>1500</v>
      </c>
      <c r="G81" s="34">
        <f t="shared" si="2"/>
        <v>1500</v>
      </c>
      <c r="H81" s="21"/>
      <c r="I81" s="21"/>
      <c r="J81" s="63"/>
      <c r="K81" s="15" t="s">
        <v>439</v>
      </c>
      <c r="L81" s="27">
        <v>1</v>
      </c>
      <c r="M81" s="27">
        <v>1</v>
      </c>
      <c r="N81" s="27">
        <v>1</v>
      </c>
      <c r="O81" s="27">
        <v>1</v>
      </c>
      <c r="P81" s="35">
        <v>1500</v>
      </c>
      <c r="Q81" s="76">
        <f t="shared" si="3"/>
        <v>7069620</v>
      </c>
    </row>
    <row r="82" spans="2:17" x14ac:dyDescent="0.3">
      <c r="B82" s="32"/>
      <c r="C82" s="15" t="s">
        <v>440</v>
      </c>
      <c r="D82" s="23">
        <f t="shared" si="2"/>
        <v>1200</v>
      </c>
      <c r="E82" s="23">
        <f t="shared" si="2"/>
        <v>1200</v>
      </c>
      <c r="F82" s="23">
        <f t="shared" si="2"/>
        <v>1200</v>
      </c>
      <c r="G82" s="34">
        <f t="shared" si="2"/>
        <v>1200</v>
      </c>
      <c r="H82" s="21"/>
      <c r="I82" s="21"/>
      <c r="J82" s="63"/>
      <c r="K82" s="15" t="s">
        <v>440</v>
      </c>
      <c r="L82" s="27">
        <v>1</v>
      </c>
      <c r="M82" s="27">
        <v>1</v>
      </c>
      <c r="N82" s="27">
        <v>1</v>
      </c>
      <c r="O82" s="27">
        <v>1</v>
      </c>
      <c r="P82" s="35">
        <v>1200</v>
      </c>
      <c r="Q82" s="76">
        <f t="shared" si="3"/>
        <v>5655696</v>
      </c>
    </row>
    <row r="83" spans="2:17" x14ac:dyDescent="0.3">
      <c r="B83" s="32"/>
      <c r="C83" s="15" t="s">
        <v>261</v>
      </c>
      <c r="D83" s="23">
        <f t="shared" si="2"/>
        <v>1880</v>
      </c>
      <c r="E83" s="23">
        <f t="shared" si="2"/>
        <v>1880</v>
      </c>
      <c r="F83" s="23">
        <f t="shared" si="2"/>
        <v>2160</v>
      </c>
      <c r="G83" s="34">
        <f t="shared" si="2"/>
        <v>4560</v>
      </c>
      <c r="H83" s="21"/>
      <c r="I83" s="21"/>
      <c r="J83" s="63"/>
      <c r="K83" s="15" t="s">
        <v>261</v>
      </c>
      <c r="L83" s="15">
        <v>9.4</v>
      </c>
      <c r="M83" s="15">
        <v>9.4</v>
      </c>
      <c r="N83" s="15">
        <v>10.8</v>
      </c>
      <c r="O83" s="15">
        <v>22.8</v>
      </c>
      <c r="P83" s="35">
        <v>200</v>
      </c>
      <c r="Q83" s="76">
        <f t="shared" si="3"/>
        <v>942616</v>
      </c>
    </row>
    <row r="84" spans="2:17" ht="14.5" thickBot="1" x14ac:dyDescent="0.35">
      <c r="B84" s="32"/>
      <c r="C84" s="15" t="s">
        <v>436</v>
      </c>
      <c r="D84" s="23">
        <f t="shared" si="2"/>
        <v>0</v>
      </c>
      <c r="E84" s="23">
        <f t="shared" si="2"/>
        <v>0</v>
      </c>
      <c r="F84" s="23">
        <f t="shared" si="2"/>
        <v>3000</v>
      </c>
      <c r="G84" s="34">
        <f t="shared" si="2"/>
        <v>3400</v>
      </c>
      <c r="H84" s="21"/>
      <c r="I84" s="21"/>
      <c r="J84" s="64"/>
      <c r="K84" s="36" t="s">
        <v>436</v>
      </c>
      <c r="L84" s="36">
        <v>0</v>
      </c>
      <c r="M84" s="36">
        <v>0</v>
      </c>
      <c r="N84" s="36">
        <v>7.5</v>
      </c>
      <c r="O84" s="36">
        <v>8.5</v>
      </c>
      <c r="P84" s="37">
        <v>400</v>
      </c>
      <c r="Q84" s="76">
        <f t="shared" si="3"/>
        <v>1885232</v>
      </c>
    </row>
    <row r="85" spans="2:17" ht="22.5" x14ac:dyDescent="0.45">
      <c r="B85" s="71" t="s">
        <v>47</v>
      </c>
      <c r="C85" s="72" t="s">
        <v>264</v>
      </c>
      <c r="D85" s="53"/>
      <c r="E85" s="53"/>
      <c r="F85" s="53"/>
      <c r="G85" s="73"/>
      <c r="H85" s="21"/>
      <c r="I85" s="21"/>
      <c r="P85" s="51"/>
    </row>
    <row r="86" spans="2:17" ht="22.5" x14ac:dyDescent="0.45">
      <c r="B86" s="71"/>
      <c r="C86" s="72" t="s">
        <v>437</v>
      </c>
      <c r="D86" s="53"/>
      <c r="E86" s="53"/>
      <c r="F86" s="53"/>
      <c r="G86" s="73"/>
      <c r="H86" s="21"/>
      <c r="I86" s="21"/>
      <c r="P86" s="51"/>
    </row>
    <row r="87" spans="2:17" ht="22.5" x14ac:dyDescent="0.45">
      <c r="B87" s="71"/>
      <c r="C87" s="72" t="s">
        <v>438</v>
      </c>
      <c r="D87" s="53"/>
      <c r="E87" s="53"/>
      <c r="F87" s="53"/>
      <c r="G87" s="73"/>
      <c r="H87" s="21"/>
      <c r="I87" s="21"/>
      <c r="P87" s="51"/>
    </row>
    <row r="88" spans="2:17" ht="23.5" thickBot="1" x14ac:dyDescent="0.55000000000000004">
      <c r="B88" s="400" t="s">
        <v>52</v>
      </c>
      <c r="C88" s="401"/>
      <c r="D88" s="61">
        <f>SUM(D53:D84)</f>
        <v>6117.2530000000006</v>
      </c>
      <c r="E88" s="61">
        <f t="shared" ref="E88:G88" si="4">SUM(E53:E84)</f>
        <v>6117.2530000000006</v>
      </c>
      <c r="F88" s="61">
        <f t="shared" si="4"/>
        <v>9646.5750000000007</v>
      </c>
      <c r="G88" s="62">
        <f t="shared" si="4"/>
        <v>13411.458000000001</v>
      </c>
      <c r="H88" s="21"/>
    </row>
  </sheetData>
  <mergeCells count="10">
    <mergeCell ref="B52:B56"/>
    <mergeCell ref="J52:J56"/>
    <mergeCell ref="B88:C88"/>
    <mergeCell ref="D6:G6"/>
    <mergeCell ref="L6:O6"/>
    <mergeCell ref="B9:B13"/>
    <mergeCell ref="J9:J13"/>
    <mergeCell ref="B43:C43"/>
    <mergeCell ref="D49:G49"/>
    <mergeCell ref="L49:O49"/>
  </mergeCells>
  <pageMargins left="0.7" right="0.7" top="0.75" bottom="0.75" header="0.3" footer="0.3"/>
  <pageSetup paperSize="9" orientation="portrait" horizontalDpi="360" verticalDpi="36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39621D-E87A-403E-84E2-9EA4AD4C3E9A}">
  <dimension ref="B1:G81"/>
  <sheetViews>
    <sheetView topLeftCell="A42" zoomScaleNormal="100" workbookViewId="0">
      <selection activeCell="D61" sqref="D61"/>
    </sheetView>
  </sheetViews>
  <sheetFormatPr baseColWidth="10" defaultColWidth="11" defaultRowHeight="14" x14ac:dyDescent="0.3"/>
  <cols>
    <col min="2" max="2" width="49.83203125" style="5" customWidth="1"/>
    <col min="3" max="3" width="7.1640625" bestFit="1" customWidth="1"/>
    <col min="4" max="4" width="60.33203125" style="5" customWidth="1"/>
    <col min="5" max="5" width="7.83203125" bestFit="1" customWidth="1"/>
    <col min="6" max="6" width="12.83203125" bestFit="1" customWidth="1"/>
  </cols>
  <sheetData>
    <row r="1" spans="2:7" x14ac:dyDescent="0.3">
      <c r="G1" t="s">
        <v>112</v>
      </c>
    </row>
    <row r="2" spans="2:7" x14ac:dyDescent="0.3">
      <c r="B2" s="5" t="s">
        <v>113</v>
      </c>
      <c r="C2" t="s">
        <v>114</v>
      </c>
      <c r="D2" s="5" t="s">
        <v>115</v>
      </c>
      <c r="E2" t="s">
        <v>116</v>
      </c>
      <c r="F2" t="s">
        <v>117</v>
      </c>
    </row>
    <row r="3" spans="2:7" ht="28" x14ac:dyDescent="0.3">
      <c r="B3" s="5" t="s">
        <v>118</v>
      </c>
      <c r="C3">
        <v>890202</v>
      </c>
      <c r="D3" s="5" t="s">
        <v>119</v>
      </c>
      <c r="E3" s="3">
        <v>5.15</v>
      </c>
      <c r="F3" s="3">
        <v>5.15</v>
      </c>
    </row>
    <row r="4" spans="2:7" ht="28" x14ac:dyDescent="0.3">
      <c r="C4">
        <v>890306</v>
      </c>
      <c r="D4" s="5" t="s">
        <v>120</v>
      </c>
      <c r="E4" s="3">
        <v>2.2599999999999998</v>
      </c>
      <c r="F4" s="3">
        <v>2.2599999999999998</v>
      </c>
    </row>
    <row r="5" spans="2:7" x14ac:dyDescent="0.3">
      <c r="B5" s="5" t="s">
        <v>121</v>
      </c>
      <c r="C5">
        <v>895101</v>
      </c>
      <c r="D5" s="5" t="s">
        <v>122</v>
      </c>
      <c r="E5" s="3">
        <v>5.62</v>
      </c>
      <c r="F5" s="3">
        <v>5.62</v>
      </c>
    </row>
    <row r="6" spans="2:7" x14ac:dyDescent="0.3">
      <c r="B6" s="5" t="s">
        <v>123</v>
      </c>
      <c r="C6" s="6">
        <v>894402</v>
      </c>
      <c r="D6" s="7" t="s">
        <v>124</v>
      </c>
      <c r="E6" s="3">
        <v>37.700000000000003</v>
      </c>
      <c r="F6" s="3">
        <v>37.700000000000003</v>
      </c>
    </row>
    <row r="7" spans="2:7" ht="28" x14ac:dyDescent="0.3">
      <c r="B7" s="5" t="s">
        <v>125</v>
      </c>
      <c r="C7" t="s">
        <v>126</v>
      </c>
      <c r="D7" s="5" t="s">
        <v>127</v>
      </c>
      <c r="E7" s="3">
        <v>39.31</v>
      </c>
      <c r="F7" s="3">
        <v>39.31</v>
      </c>
    </row>
    <row r="8" spans="2:7" x14ac:dyDescent="0.3">
      <c r="B8" s="5" t="s">
        <v>128</v>
      </c>
      <c r="C8" s="6">
        <v>881202</v>
      </c>
      <c r="D8" s="7" t="s">
        <v>129</v>
      </c>
      <c r="E8" s="3">
        <v>26.03</v>
      </c>
      <c r="F8" s="3">
        <v>26.03</v>
      </c>
    </row>
    <row r="9" spans="2:7" ht="70" x14ac:dyDescent="0.3">
      <c r="B9" s="5" t="s">
        <v>130</v>
      </c>
      <c r="C9">
        <v>902210</v>
      </c>
      <c r="D9" s="5" t="s">
        <v>131</v>
      </c>
      <c r="E9" s="3">
        <v>4.54</v>
      </c>
      <c r="F9" s="3">
        <v>4.54</v>
      </c>
    </row>
    <row r="10" spans="2:7" x14ac:dyDescent="0.3">
      <c r="B10" s="8" t="s">
        <v>132</v>
      </c>
      <c r="C10" s="1">
        <v>902012</v>
      </c>
      <c r="D10" s="8" t="s">
        <v>133</v>
      </c>
      <c r="E10" s="3">
        <v>82.37</v>
      </c>
      <c r="F10" s="3">
        <v>82.37</v>
      </c>
    </row>
    <row r="11" spans="2:7" x14ac:dyDescent="0.3">
      <c r="B11" s="8"/>
      <c r="C11" s="9">
        <v>903856</v>
      </c>
      <c r="D11" s="10" t="s">
        <v>134</v>
      </c>
      <c r="E11" s="3"/>
      <c r="F11" s="3"/>
    </row>
    <row r="12" spans="2:7" x14ac:dyDescent="0.3">
      <c r="C12" s="6">
        <v>903895</v>
      </c>
      <c r="D12" s="7" t="s">
        <v>135</v>
      </c>
      <c r="E12" s="3">
        <v>2.13</v>
      </c>
      <c r="F12" s="3">
        <v>2.13</v>
      </c>
    </row>
    <row r="13" spans="2:7" x14ac:dyDescent="0.3">
      <c r="C13">
        <v>903864</v>
      </c>
      <c r="D13" s="5" t="s">
        <v>136</v>
      </c>
      <c r="E13" s="3">
        <v>2.4500000000000002</v>
      </c>
      <c r="F13" s="3">
        <v>2.4500000000000002</v>
      </c>
    </row>
    <row r="14" spans="2:7" x14ac:dyDescent="0.3">
      <c r="C14">
        <v>903859</v>
      </c>
      <c r="D14" s="5" t="s">
        <v>137</v>
      </c>
      <c r="E14" s="3">
        <v>3.45</v>
      </c>
      <c r="F14" s="3">
        <v>3.45</v>
      </c>
    </row>
    <row r="15" spans="2:7" ht="28" x14ac:dyDescent="0.3">
      <c r="C15">
        <v>903866</v>
      </c>
      <c r="D15" s="5" t="s">
        <v>138</v>
      </c>
      <c r="E15" s="3">
        <v>1.87</v>
      </c>
      <c r="F15" s="3">
        <v>1.87</v>
      </c>
    </row>
    <row r="16" spans="2:7" ht="28" x14ac:dyDescent="0.3">
      <c r="C16">
        <v>903867</v>
      </c>
      <c r="D16" s="5" t="s">
        <v>139</v>
      </c>
      <c r="E16" s="3">
        <v>1.87</v>
      </c>
      <c r="F16" s="3">
        <v>1.87</v>
      </c>
    </row>
    <row r="17" spans="2:6" x14ac:dyDescent="0.3">
      <c r="C17" s="6">
        <v>902045</v>
      </c>
      <c r="D17" s="7" t="s">
        <v>140</v>
      </c>
      <c r="E17" s="3"/>
      <c r="F17" s="3"/>
    </row>
    <row r="18" spans="2:6" x14ac:dyDescent="0.3">
      <c r="C18">
        <v>903809</v>
      </c>
      <c r="D18" s="5" t="s">
        <v>141</v>
      </c>
      <c r="E18" s="3">
        <v>2.0699999999999998</v>
      </c>
      <c r="F18" s="3">
        <v>2.0699999999999998</v>
      </c>
    </row>
    <row r="19" spans="2:6" x14ac:dyDescent="0.3">
      <c r="C19" s="6">
        <v>871121</v>
      </c>
      <c r="D19" s="7" t="s">
        <v>142</v>
      </c>
      <c r="E19" s="3"/>
      <c r="F19" s="3"/>
    </row>
    <row r="20" spans="2:6" x14ac:dyDescent="0.3">
      <c r="C20" s="6">
        <v>903065</v>
      </c>
      <c r="D20" s="7" t="s">
        <v>143</v>
      </c>
      <c r="E20" s="3"/>
      <c r="F20" s="3"/>
    </row>
    <row r="21" spans="2:6" x14ac:dyDescent="0.3">
      <c r="C21" s="1">
        <v>904706</v>
      </c>
      <c r="D21" s="8" t="s">
        <v>144</v>
      </c>
      <c r="E21" s="3">
        <v>21.95</v>
      </c>
      <c r="F21" s="3">
        <v>21.95</v>
      </c>
    </row>
    <row r="22" spans="2:6" x14ac:dyDescent="0.3">
      <c r="B22" s="5" t="s">
        <v>145</v>
      </c>
      <c r="C22">
        <v>904902</v>
      </c>
      <c r="D22" s="5" t="s">
        <v>146</v>
      </c>
      <c r="E22" s="3">
        <v>9.8800000000000008</v>
      </c>
      <c r="F22" s="3">
        <v>9.8800000000000008</v>
      </c>
    </row>
    <row r="23" spans="2:6" x14ac:dyDescent="0.3">
      <c r="C23">
        <v>903439</v>
      </c>
      <c r="D23" s="5" t="s">
        <v>147</v>
      </c>
      <c r="E23" s="3">
        <v>16.16</v>
      </c>
      <c r="F23" s="3">
        <v>16.16</v>
      </c>
    </row>
    <row r="24" spans="2:6" x14ac:dyDescent="0.3">
      <c r="C24" s="1">
        <v>903438</v>
      </c>
      <c r="D24" s="8" t="s">
        <v>148</v>
      </c>
      <c r="E24" s="3">
        <v>11.48</v>
      </c>
      <c r="F24" s="3">
        <v>11.48</v>
      </c>
    </row>
    <row r="25" spans="2:6" x14ac:dyDescent="0.3">
      <c r="C25" s="1">
        <v>903801</v>
      </c>
      <c r="D25" s="8" t="s">
        <v>149</v>
      </c>
      <c r="E25" s="3">
        <v>1.37</v>
      </c>
      <c r="F25" s="3">
        <v>1.37</v>
      </c>
    </row>
    <row r="26" spans="2:6" x14ac:dyDescent="0.3">
      <c r="C26" s="1">
        <v>903016</v>
      </c>
      <c r="D26" s="8" t="s">
        <v>150</v>
      </c>
      <c r="E26" s="3">
        <v>6.65</v>
      </c>
      <c r="F26" s="3">
        <v>6.65</v>
      </c>
    </row>
    <row r="27" spans="2:6" x14ac:dyDescent="0.3">
      <c r="C27" s="9">
        <v>879901</v>
      </c>
      <c r="D27" s="10" t="s">
        <v>151</v>
      </c>
      <c r="E27" s="3"/>
      <c r="F27" s="3"/>
    </row>
    <row r="28" spans="2:6" x14ac:dyDescent="0.3">
      <c r="C28" s="9">
        <v>879301</v>
      </c>
      <c r="D28" s="10" t="s">
        <v>152</v>
      </c>
      <c r="E28" s="3"/>
      <c r="F28" s="3"/>
    </row>
    <row r="29" spans="2:6" x14ac:dyDescent="0.3">
      <c r="C29" s="9">
        <v>920304</v>
      </c>
      <c r="D29" s="10" t="s">
        <v>153</v>
      </c>
      <c r="E29" s="3"/>
      <c r="F29" s="3"/>
    </row>
    <row r="30" spans="2:6" x14ac:dyDescent="0.3">
      <c r="C30" s="1">
        <v>903044</v>
      </c>
      <c r="D30" s="8" t="s">
        <v>154</v>
      </c>
      <c r="E30" s="3">
        <v>5.44</v>
      </c>
      <c r="F30" s="3">
        <v>5.44</v>
      </c>
    </row>
    <row r="31" spans="2:6" x14ac:dyDescent="0.3">
      <c r="B31" s="5" t="s">
        <v>155</v>
      </c>
      <c r="C31">
        <v>903839</v>
      </c>
      <c r="D31" s="5" t="s">
        <v>156</v>
      </c>
      <c r="E31" s="3">
        <v>5.23</v>
      </c>
      <c r="F31" s="3">
        <v>5.23</v>
      </c>
    </row>
    <row r="32" spans="2:6" x14ac:dyDescent="0.3">
      <c r="C32" s="9">
        <v>883324</v>
      </c>
      <c r="D32" s="7" t="s">
        <v>157</v>
      </c>
      <c r="E32" s="3"/>
      <c r="F32" s="3"/>
    </row>
    <row r="33" spans="2:6" ht="28" x14ac:dyDescent="0.3">
      <c r="B33" s="5" t="s">
        <v>158</v>
      </c>
      <c r="C33" s="6">
        <v>3721</v>
      </c>
      <c r="D33" s="7" t="s">
        <v>159</v>
      </c>
      <c r="E33" s="3">
        <v>199.43</v>
      </c>
      <c r="F33" s="3">
        <v>199.43</v>
      </c>
    </row>
    <row r="34" spans="2:6" ht="42" x14ac:dyDescent="0.3">
      <c r="B34" s="5" t="s">
        <v>160</v>
      </c>
      <c r="E34" s="3">
        <v>494.37</v>
      </c>
      <c r="F34" s="3">
        <v>494.37</v>
      </c>
    </row>
    <row r="35" spans="2:6" x14ac:dyDescent="0.3">
      <c r="E35" s="3"/>
      <c r="F35" s="3"/>
    </row>
    <row r="36" spans="2:6" ht="42" x14ac:dyDescent="0.3">
      <c r="B36" s="8" t="s">
        <v>161</v>
      </c>
      <c r="D36" s="8" t="s">
        <v>162</v>
      </c>
      <c r="E36" s="3"/>
      <c r="F36" s="3"/>
    </row>
    <row r="38" spans="2:6" ht="28" x14ac:dyDescent="0.3">
      <c r="B38" s="7" t="s">
        <v>163</v>
      </c>
      <c r="D38" s="7" t="s">
        <v>164</v>
      </c>
    </row>
    <row r="41" spans="2:6" x14ac:dyDescent="0.3">
      <c r="B41" s="7" t="s">
        <v>165</v>
      </c>
      <c r="D41" s="7" t="s">
        <v>166</v>
      </c>
    </row>
    <row r="42" spans="2:6" x14ac:dyDescent="0.3">
      <c r="B42" s="5" t="s">
        <v>167</v>
      </c>
      <c r="C42" t="s">
        <v>168</v>
      </c>
      <c r="D42" s="5" t="s">
        <v>169</v>
      </c>
    </row>
    <row r="43" spans="2:6" x14ac:dyDescent="0.3">
      <c r="B43" s="5" t="s">
        <v>170</v>
      </c>
      <c r="C43">
        <v>9390</v>
      </c>
      <c r="D43" s="5" t="s">
        <v>171</v>
      </c>
    </row>
    <row r="44" spans="2:6" x14ac:dyDescent="0.3">
      <c r="B44" s="5" t="s">
        <v>172</v>
      </c>
      <c r="D44" s="5" t="s">
        <v>173</v>
      </c>
    </row>
    <row r="45" spans="2:6" x14ac:dyDescent="0.3">
      <c r="B45" s="5" t="s">
        <v>174</v>
      </c>
      <c r="C45">
        <v>903111</v>
      </c>
      <c r="D45" s="5" t="s">
        <v>175</v>
      </c>
    </row>
    <row r="46" spans="2:6" x14ac:dyDescent="0.3">
      <c r="B46" s="5" t="s">
        <v>176</v>
      </c>
    </row>
    <row r="47" spans="2:6" x14ac:dyDescent="0.3">
      <c r="B47" s="5" t="s">
        <v>177</v>
      </c>
      <c r="C47">
        <v>903839</v>
      </c>
    </row>
    <row r="48" spans="2:6" x14ac:dyDescent="0.3">
      <c r="B48" s="5" t="s">
        <v>178</v>
      </c>
      <c r="C48">
        <v>871121</v>
      </c>
    </row>
    <row r="49" spans="2:3" x14ac:dyDescent="0.3">
      <c r="B49" s="5" t="s">
        <v>179</v>
      </c>
      <c r="C49">
        <v>902210</v>
      </c>
    </row>
    <row r="50" spans="2:3" x14ac:dyDescent="0.3">
      <c r="C50">
        <v>903856</v>
      </c>
    </row>
    <row r="51" spans="2:3" x14ac:dyDescent="0.3">
      <c r="C51">
        <v>983895</v>
      </c>
    </row>
    <row r="52" spans="2:3" x14ac:dyDescent="0.3">
      <c r="C52">
        <v>803859</v>
      </c>
    </row>
    <row r="53" spans="2:3" x14ac:dyDescent="0.3">
      <c r="C53">
        <v>903864</v>
      </c>
    </row>
    <row r="54" spans="2:3" x14ac:dyDescent="0.3">
      <c r="B54" s="5" t="s">
        <v>180</v>
      </c>
    </row>
    <row r="55" spans="2:3" x14ac:dyDescent="0.3">
      <c r="B55" s="5" t="s">
        <v>181</v>
      </c>
    </row>
    <row r="56" spans="2:3" x14ac:dyDescent="0.3">
      <c r="B56" s="5" t="s">
        <v>182</v>
      </c>
    </row>
    <row r="57" spans="2:3" x14ac:dyDescent="0.3">
      <c r="B57" s="5" t="s">
        <v>183</v>
      </c>
    </row>
    <row r="58" spans="2:3" x14ac:dyDescent="0.3">
      <c r="B58" s="5" t="s">
        <v>184</v>
      </c>
    </row>
    <row r="59" spans="2:3" x14ac:dyDescent="0.3">
      <c r="B59" s="5" t="s">
        <v>185</v>
      </c>
    </row>
    <row r="60" spans="2:3" x14ac:dyDescent="0.3">
      <c r="B60" s="5" t="s">
        <v>186</v>
      </c>
    </row>
    <row r="61" spans="2:3" x14ac:dyDescent="0.3">
      <c r="B61" s="5" t="s">
        <v>441</v>
      </c>
    </row>
    <row r="63" spans="2:3" x14ac:dyDescent="0.3">
      <c r="B63" s="5" t="s">
        <v>187</v>
      </c>
      <c r="C63">
        <v>396501</v>
      </c>
    </row>
    <row r="64" spans="2:3" x14ac:dyDescent="0.3">
      <c r="B64" s="5" t="s">
        <v>188</v>
      </c>
      <c r="C64">
        <v>396503</v>
      </c>
    </row>
    <row r="65" spans="2:4" x14ac:dyDescent="0.3">
      <c r="B65" s="5" t="s">
        <v>189</v>
      </c>
      <c r="C65">
        <v>396504</v>
      </c>
    </row>
    <row r="66" spans="2:4" x14ac:dyDescent="0.3">
      <c r="B66" s="5" t="s">
        <v>190</v>
      </c>
      <c r="C66">
        <v>396505</v>
      </c>
    </row>
    <row r="67" spans="2:4" x14ac:dyDescent="0.3">
      <c r="B67" s="5" t="s">
        <v>191</v>
      </c>
      <c r="D67" s="5" t="s">
        <v>192</v>
      </c>
    </row>
    <row r="68" spans="2:4" x14ac:dyDescent="0.3">
      <c r="B68" s="5" t="s">
        <v>193</v>
      </c>
      <c r="D68" s="5" t="s">
        <v>192</v>
      </c>
    </row>
    <row r="69" spans="2:4" x14ac:dyDescent="0.3">
      <c r="B69" s="5" t="s">
        <v>194</v>
      </c>
      <c r="C69">
        <v>327101</v>
      </c>
    </row>
    <row r="71" spans="2:4" ht="56" x14ac:dyDescent="0.3">
      <c r="B71" s="5" t="s">
        <v>195</v>
      </c>
    </row>
    <row r="73" spans="2:4" x14ac:dyDescent="0.3">
      <c r="B73" s="7" t="s">
        <v>196</v>
      </c>
    </row>
    <row r="74" spans="2:4" ht="98" x14ac:dyDescent="0.3">
      <c r="B74" s="5" t="s">
        <v>197</v>
      </c>
      <c r="D74" s="5" t="s">
        <v>198</v>
      </c>
    </row>
    <row r="75" spans="2:4" ht="84" x14ac:dyDescent="0.3">
      <c r="B75" s="5" t="s">
        <v>199</v>
      </c>
      <c r="D75" s="5" t="s">
        <v>200</v>
      </c>
    </row>
    <row r="76" spans="2:4" ht="42" x14ac:dyDescent="0.3">
      <c r="B76" s="5" t="s">
        <v>201</v>
      </c>
      <c r="D76" s="5" t="s">
        <v>202</v>
      </c>
    </row>
    <row r="77" spans="2:4" ht="70" x14ac:dyDescent="0.3">
      <c r="B77" s="5" t="s">
        <v>203</v>
      </c>
      <c r="D77" s="5" t="s">
        <v>204</v>
      </c>
    </row>
    <row r="78" spans="2:4" ht="56" x14ac:dyDescent="0.3">
      <c r="D78" s="5" t="s">
        <v>205</v>
      </c>
    </row>
    <row r="79" spans="2:4" ht="28" x14ac:dyDescent="0.3">
      <c r="D79" s="5" t="s">
        <v>206</v>
      </c>
    </row>
    <row r="80" spans="2:4" x14ac:dyDescent="0.3">
      <c r="D80" s="5" t="s">
        <v>207</v>
      </c>
    </row>
    <row r="81" spans="4:4" ht="28" x14ac:dyDescent="0.3">
      <c r="D81" s="5" t="s">
        <v>208</v>
      </c>
    </row>
  </sheetData>
  <pageMargins left="0.7" right="0.7" top="0.75" bottom="0.75" header="0.3" footer="0.3"/>
  <pageSetup paperSize="9" orientation="portrait" r:id="rId1"/>
  <headerFooter>
    <oddFooter>&amp;R_x000D_&amp;1#&amp;"Calibri"&amp;22&amp;KFF8939 RESTRICTED</oddFooter>
  </headerFooter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AB0FE6-7F5E-4886-953A-73465EB16D1C}">
  <dimension ref="B2:D30"/>
  <sheetViews>
    <sheetView zoomScaleNormal="100" workbookViewId="0"/>
  </sheetViews>
  <sheetFormatPr baseColWidth="10" defaultColWidth="11" defaultRowHeight="14" x14ac:dyDescent="0.3"/>
  <cols>
    <col min="2" max="2" width="49.83203125" style="5" customWidth="1"/>
    <col min="3" max="3" width="7.1640625" bestFit="1" customWidth="1"/>
    <col min="4" max="4" width="60.33203125" style="5" customWidth="1"/>
    <col min="5" max="5" width="7.83203125" bestFit="1" customWidth="1"/>
    <col min="6" max="6" width="12.83203125" bestFit="1" customWidth="1"/>
  </cols>
  <sheetData>
    <row r="2" spans="2:4" x14ac:dyDescent="0.3">
      <c r="B2" s="7" t="s">
        <v>165</v>
      </c>
      <c r="D2" s="7" t="s">
        <v>166</v>
      </c>
    </row>
    <row r="3" spans="2:4" x14ac:dyDescent="0.3">
      <c r="B3" s="5" t="s">
        <v>167</v>
      </c>
      <c r="C3" t="s">
        <v>168</v>
      </c>
      <c r="D3" s="5" t="s">
        <v>169</v>
      </c>
    </row>
    <row r="4" spans="2:4" x14ac:dyDescent="0.3">
      <c r="B4" s="5" t="s">
        <v>170</v>
      </c>
      <c r="C4">
        <v>9390</v>
      </c>
      <c r="D4" s="5" t="s">
        <v>171</v>
      </c>
    </row>
    <row r="5" spans="2:4" x14ac:dyDescent="0.3">
      <c r="B5" s="5" t="s">
        <v>172</v>
      </c>
      <c r="D5" s="5" t="s">
        <v>173</v>
      </c>
    </row>
    <row r="6" spans="2:4" x14ac:dyDescent="0.3">
      <c r="B6" s="5" t="s">
        <v>174</v>
      </c>
      <c r="C6">
        <v>903111</v>
      </c>
      <c r="D6" s="5" t="s">
        <v>175</v>
      </c>
    </row>
    <row r="7" spans="2:4" x14ac:dyDescent="0.3">
      <c r="B7" s="5" t="s">
        <v>176</v>
      </c>
    </row>
    <row r="8" spans="2:4" x14ac:dyDescent="0.3">
      <c r="B8" s="5" t="s">
        <v>177</v>
      </c>
      <c r="C8">
        <v>903839</v>
      </c>
    </row>
    <row r="9" spans="2:4" x14ac:dyDescent="0.3">
      <c r="B9" s="5" t="s">
        <v>178</v>
      </c>
      <c r="C9">
        <v>871121</v>
      </c>
    </row>
    <row r="10" spans="2:4" x14ac:dyDescent="0.3">
      <c r="B10" s="5" t="s">
        <v>179</v>
      </c>
      <c r="C10">
        <v>902210</v>
      </c>
    </row>
    <row r="11" spans="2:4" x14ac:dyDescent="0.3">
      <c r="C11">
        <v>903856</v>
      </c>
    </row>
    <row r="12" spans="2:4" x14ac:dyDescent="0.3">
      <c r="C12">
        <v>983895</v>
      </c>
    </row>
    <row r="13" spans="2:4" x14ac:dyDescent="0.3">
      <c r="C13">
        <v>803859</v>
      </c>
    </row>
    <row r="14" spans="2:4" x14ac:dyDescent="0.3">
      <c r="C14">
        <v>903864</v>
      </c>
    </row>
    <row r="15" spans="2:4" x14ac:dyDescent="0.3">
      <c r="B15" s="5" t="s">
        <v>180</v>
      </c>
    </row>
    <row r="16" spans="2:4" x14ac:dyDescent="0.3">
      <c r="B16" s="5" t="s">
        <v>181</v>
      </c>
    </row>
    <row r="17" spans="2:4" x14ac:dyDescent="0.3">
      <c r="B17" s="5" t="s">
        <v>182</v>
      </c>
    </row>
    <row r="18" spans="2:4" x14ac:dyDescent="0.3">
      <c r="B18" s="5" t="s">
        <v>183</v>
      </c>
    </row>
    <row r="19" spans="2:4" x14ac:dyDescent="0.3">
      <c r="B19" s="5" t="s">
        <v>184</v>
      </c>
    </row>
    <row r="20" spans="2:4" x14ac:dyDescent="0.3">
      <c r="B20" s="5" t="s">
        <v>185</v>
      </c>
    </row>
    <row r="21" spans="2:4" x14ac:dyDescent="0.3">
      <c r="B21" s="5" t="s">
        <v>186</v>
      </c>
    </row>
    <row r="22" spans="2:4" x14ac:dyDescent="0.3">
      <c r="B22" s="5" t="s">
        <v>441</v>
      </c>
    </row>
    <row r="24" spans="2:4" x14ac:dyDescent="0.3">
      <c r="B24" s="5" t="s">
        <v>187</v>
      </c>
      <c r="C24">
        <v>396501</v>
      </c>
    </row>
    <row r="25" spans="2:4" x14ac:dyDescent="0.3">
      <c r="B25" s="5" t="s">
        <v>188</v>
      </c>
      <c r="C25">
        <v>396503</v>
      </c>
    </row>
    <row r="26" spans="2:4" x14ac:dyDescent="0.3">
      <c r="B26" s="5" t="s">
        <v>189</v>
      </c>
      <c r="C26">
        <v>396504</v>
      </c>
    </row>
    <row r="27" spans="2:4" x14ac:dyDescent="0.3">
      <c r="B27" s="5" t="s">
        <v>190</v>
      </c>
      <c r="C27">
        <v>396505</v>
      </c>
    </row>
    <row r="28" spans="2:4" x14ac:dyDescent="0.3">
      <c r="B28" s="5" t="s">
        <v>191</v>
      </c>
      <c r="D28" s="5" t="s">
        <v>192</v>
      </c>
    </row>
    <row r="29" spans="2:4" x14ac:dyDescent="0.3">
      <c r="B29" s="5" t="s">
        <v>193</v>
      </c>
      <c r="D29" s="5" t="s">
        <v>192</v>
      </c>
    </row>
    <row r="30" spans="2:4" x14ac:dyDescent="0.3">
      <c r="B30" s="5" t="s">
        <v>194</v>
      </c>
      <c r="C30">
        <v>327101</v>
      </c>
    </row>
  </sheetData>
  <pageMargins left="0.7" right="0.7" top="0.75" bottom="0.75" header="0.3" footer="0.3"/>
  <pageSetup paperSize="9" orientation="portrait" r:id="rId1"/>
  <headerFooter>
    <oddFooter>&amp;R_x000D_&amp;1#&amp;"Calibri"&amp;22&amp;KFF8939 RESTRICTED</oddFooter>
  </headerFooter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1A9D00-2A2E-4695-A4C9-F8EE79FCFC38}">
  <sheetPr>
    <tabColor theme="7" tint="0.79998168889431442"/>
  </sheetPr>
  <dimension ref="B10:U42"/>
  <sheetViews>
    <sheetView topLeftCell="L11" zoomScale="60" zoomScaleNormal="60" workbookViewId="0">
      <selection activeCell="Q15" sqref="Q15:Q41"/>
    </sheetView>
  </sheetViews>
  <sheetFormatPr baseColWidth="10" defaultColWidth="11" defaultRowHeight="14" x14ac:dyDescent="0.3"/>
  <cols>
    <col min="2" max="2" width="47.5" style="5" bestFit="1" customWidth="1"/>
    <col min="3" max="3" width="24.6640625" style="5" bestFit="1" customWidth="1"/>
    <col min="4" max="4" width="25.5" style="5" bestFit="1" customWidth="1"/>
    <col min="5" max="5" width="26.1640625" style="5" bestFit="1" customWidth="1"/>
    <col min="6" max="6" width="26.6640625" style="5" customWidth="1"/>
    <col min="7" max="7" width="3.1640625" customWidth="1"/>
    <col min="8" max="8" width="13.5" bestFit="1" customWidth="1"/>
    <col min="9" max="9" width="3.1640625" customWidth="1"/>
    <col min="10" max="10" width="24.83203125" bestFit="1" customWidth="1"/>
    <col min="11" max="11" width="16.6640625" bestFit="1" customWidth="1"/>
    <col min="12" max="12" width="17.6640625" bestFit="1" customWidth="1"/>
    <col min="13" max="13" width="17.1640625" bestFit="1" customWidth="1"/>
    <col min="14" max="14" width="18.6640625" bestFit="1" customWidth="1"/>
    <col min="15" max="15" width="31.1640625" bestFit="1" customWidth="1"/>
    <col min="16" max="16" width="30.33203125" bestFit="1" customWidth="1"/>
    <col min="17" max="17" width="16.1640625" bestFit="1" customWidth="1"/>
    <col min="18" max="18" width="32" bestFit="1" customWidth="1"/>
    <col min="19" max="19" width="33.1640625" bestFit="1" customWidth="1"/>
    <col min="20" max="20" width="34.1640625" bestFit="1" customWidth="1"/>
    <col min="21" max="21" width="34.5" bestFit="1" customWidth="1"/>
  </cols>
  <sheetData>
    <row r="10" spans="2:21" x14ac:dyDescent="0.3">
      <c r="Q10" s="75">
        <v>4713.08</v>
      </c>
    </row>
    <row r="11" spans="2:21" ht="14.5" thickBot="1" x14ac:dyDescent="0.35"/>
    <row r="12" spans="2:21" ht="23" x14ac:dyDescent="0.5">
      <c r="B12" s="43" t="s">
        <v>442</v>
      </c>
      <c r="C12" s="30" t="s">
        <v>243</v>
      </c>
      <c r="D12" s="30" t="s">
        <v>434</v>
      </c>
      <c r="E12" s="30" t="s">
        <v>244</v>
      </c>
      <c r="F12" s="30" t="s">
        <v>245</v>
      </c>
      <c r="G12" s="29"/>
      <c r="H12" s="29"/>
      <c r="I12" s="29"/>
      <c r="J12" s="29"/>
      <c r="K12" s="29"/>
      <c r="L12" s="29"/>
      <c r="M12" s="29"/>
      <c r="N12" s="29"/>
      <c r="O12" s="29"/>
      <c r="P12" s="44"/>
      <c r="R12" s="43" t="s">
        <v>243</v>
      </c>
      <c r="S12" s="30" t="s">
        <v>434</v>
      </c>
      <c r="T12" s="30" t="s">
        <v>244</v>
      </c>
      <c r="U12" s="56" t="s">
        <v>245</v>
      </c>
    </row>
    <row r="13" spans="2:21" x14ac:dyDescent="0.3">
      <c r="B13" s="45"/>
      <c r="C13" s="26"/>
      <c r="D13" s="26"/>
      <c r="E13" s="26"/>
      <c r="F13" s="26"/>
      <c r="G13" s="15"/>
      <c r="H13" s="17" t="s">
        <v>443</v>
      </c>
      <c r="I13" s="15"/>
      <c r="J13" s="17" t="s">
        <v>444</v>
      </c>
      <c r="K13" s="17" t="s">
        <v>445</v>
      </c>
      <c r="L13" s="17" t="s">
        <v>446</v>
      </c>
      <c r="M13" s="17" t="s">
        <v>447</v>
      </c>
      <c r="N13" s="17" t="s">
        <v>448</v>
      </c>
      <c r="O13" s="17" t="s">
        <v>449</v>
      </c>
      <c r="P13" s="18" t="s">
        <v>450</v>
      </c>
      <c r="R13" s="32"/>
      <c r="S13" s="15"/>
      <c r="T13" s="15"/>
      <c r="U13" s="33"/>
    </row>
    <row r="14" spans="2:21" ht="23" x14ac:dyDescent="0.5">
      <c r="B14" s="46" t="s">
        <v>57</v>
      </c>
      <c r="C14" s="22"/>
      <c r="D14" s="22"/>
      <c r="E14" s="22"/>
      <c r="F14" s="22"/>
      <c r="G14" s="15"/>
      <c r="H14" s="15"/>
      <c r="I14" s="15"/>
      <c r="J14" s="15"/>
      <c r="K14" s="15"/>
      <c r="L14" s="15"/>
      <c r="M14" s="15"/>
      <c r="N14" s="15"/>
      <c r="O14" s="15"/>
      <c r="P14" s="33"/>
      <c r="R14" s="32"/>
      <c r="S14" s="15"/>
      <c r="T14" s="15"/>
      <c r="U14" s="33"/>
    </row>
    <row r="15" spans="2:21" x14ac:dyDescent="0.3">
      <c r="B15" s="45" t="s">
        <v>381</v>
      </c>
      <c r="C15" s="49">
        <v>0.25</v>
      </c>
      <c r="D15" s="49">
        <v>0.25</v>
      </c>
      <c r="E15" s="49">
        <v>0</v>
      </c>
      <c r="F15" s="49">
        <v>0</v>
      </c>
      <c r="G15" s="15"/>
      <c r="H15" s="15">
        <v>2.5</v>
      </c>
      <c r="I15" s="15"/>
      <c r="J15" s="15">
        <v>3</v>
      </c>
      <c r="K15" s="15">
        <v>7.5</v>
      </c>
      <c r="L15" s="15">
        <v>225</v>
      </c>
      <c r="M15" s="39">
        <v>2700</v>
      </c>
      <c r="N15" s="40">
        <v>14.3</v>
      </c>
      <c r="O15" s="41">
        <v>3226</v>
      </c>
      <c r="P15" s="47">
        <v>38711.9</v>
      </c>
      <c r="Q15" s="76">
        <f>P15*$Q$10</f>
        <v>182452281.65200001</v>
      </c>
      <c r="R15" s="57">
        <f>C15*$P15</f>
        <v>9677.9750000000004</v>
      </c>
      <c r="S15" s="40">
        <f>D15*$P15</f>
        <v>9677.9750000000004</v>
      </c>
      <c r="T15" s="40">
        <f>E15*$P15</f>
        <v>0</v>
      </c>
      <c r="U15" s="47">
        <f>F15*$P15</f>
        <v>0</v>
      </c>
    </row>
    <row r="16" spans="2:21" x14ac:dyDescent="0.3">
      <c r="B16" s="45" t="s">
        <v>328</v>
      </c>
      <c r="C16" s="49">
        <v>0.3</v>
      </c>
      <c r="D16" s="49">
        <v>0.05</v>
      </c>
      <c r="E16" s="49">
        <v>0</v>
      </c>
      <c r="F16" s="49">
        <v>0</v>
      </c>
      <c r="G16" s="15"/>
      <c r="H16" s="15">
        <v>20</v>
      </c>
      <c r="I16" s="15"/>
      <c r="J16" s="15">
        <v>3</v>
      </c>
      <c r="K16" s="15">
        <v>60</v>
      </c>
      <c r="L16" s="39">
        <v>1800</v>
      </c>
      <c r="M16" s="39">
        <v>21600</v>
      </c>
      <c r="N16" s="40">
        <v>0</v>
      </c>
      <c r="O16" s="41">
        <v>41</v>
      </c>
      <c r="P16" s="47">
        <v>491</v>
      </c>
      <c r="Q16" s="76">
        <f t="shared" ref="Q16:Q41" si="0">P16*$Q$10</f>
        <v>2314122.2799999998</v>
      </c>
      <c r="R16" s="57">
        <f t="shared" ref="R16:U41" si="1">C16*$P16</f>
        <v>147.29999999999998</v>
      </c>
      <c r="S16" s="40">
        <f t="shared" si="1"/>
        <v>24.55</v>
      </c>
      <c r="T16" s="40">
        <f t="shared" si="1"/>
        <v>0</v>
      </c>
      <c r="U16" s="47">
        <f t="shared" si="1"/>
        <v>0</v>
      </c>
    </row>
    <row r="17" spans="2:21" x14ac:dyDescent="0.3">
      <c r="B17" s="45" t="s">
        <v>451</v>
      </c>
      <c r="C17" s="49">
        <v>0.15</v>
      </c>
      <c r="D17" s="49">
        <v>0.05</v>
      </c>
      <c r="E17" s="49">
        <v>0</v>
      </c>
      <c r="F17" s="49">
        <v>0</v>
      </c>
      <c r="G17" s="15"/>
      <c r="H17" s="15"/>
      <c r="I17" s="15"/>
      <c r="J17" s="15">
        <v>2</v>
      </c>
      <c r="K17" s="15">
        <v>250</v>
      </c>
      <c r="L17" s="39">
        <v>7500</v>
      </c>
      <c r="M17" s="39">
        <v>90000</v>
      </c>
      <c r="N17" s="40">
        <v>0.1</v>
      </c>
      <c r="O17" s="41">
        <v>620</v>
      </c>
      <c r="P17" s="47">
        <v>7444</v>
      </c>
      <c r="Q17" s="76">
        <f t="shared" si="0"/>
        <v>35084167.519999996</v>
      </c>
      <c r="R17" s="57">
        <f t="shared" si="1"/>
        <v>1116.5999999999999</v>
      </c>
      <c r="S17" s="40">
        <f t="shared" si="1"/>
        <v>372.20000000000005</v>
      </c>
      <c r="T17" s="40">
        <f t="shared" si="1"/>
        <v>0</v>
      </c>
      <c r="U17" s="47">
        <f t="shared" si="1"/>
        <v>0</v>
      </c>
    </row>
    <row r="18" spans="2:21" x14ac:dyDescent="0.3">
      <c r="B18" s="45" t="s">
        <v>336</v>
      </c>
      <c r="C18" s="49">
        <v>0.05</v>
      </c>
      <c r="D18" s="49">
        <v>0.1</v>
      </c>
      <c r="E18" s="49">
        <v>0</v>
      </c>
      <c r="F18" s="49">
        <v>0</v>
      </c>
      <c r="G18" s="15"/>
      <c r="H18" s="15">
        <v>125</v>
      </c>
      <c r="I18" s="15"/>
      <c r="J18" s="15">
        <v>1</v>
      </c>
      <c r="K18" s="15">
        <v>10</v>
      </c>
      <c r="L18" s="15">
        <v>300</v>
      </c>
      <c r="M18" s="39">
        <v>3600</v>
      </c>
      <c r="N18" s="40">
        <v>7.5</v>
      </c>
      <c r="O18" s="41">
        <v>2252</v>
      </c>
      <c r="P18" s="47">
        <v>27021.200000000001</v>
      </c>
      <c r="Q18" s="76">
        <f t="shared" si="0"/>
        <v>127353077.296</v>
      </c>
      <c r="R18" s="57">
        <f t="shared" si="1"/>
        <v>1351.0600000000002</v>
      </c>
      <c r="S18" s="40">
        <f t="shared" si="1"/>
        <v>2702.1200000000003</v>
      </c>
      <c r="T18" s="40">
        <f t="shared" si="1"/>
        <v>0</v>
      </c>
      <c r="U18" s="47">
        <f t="shared" si="1"/>
        <v>0</v>
      </c>
    </row>
    <row r="19" spans="2:21" x14ac:dyDescent="0.3">
      <c r="B19" s="45" t="s">
        <v>338</v>
      </c>
      <c r="C19" s="49">
        <v>0.05</v>
      </c>
      <c r="D19" s="49">
        <v>0.1</v>
      </c>
      <c r="E19" s="49">
        <v>0</v>
      </c>
      <c r="F19" s="49">
        <v>0</v>
      </c>
      <c r="G19" s="15"/>
      <c r="H19" s="15">
        <v>10</v>
      </c>
      <c r="I19" s="15"/>
      <c r="J19" s="15">
        <v>2</v>
      </c>
      <c r="K19" s="15">
        <v>20</v>
      </c>
      <c r="L19" s="15">
        <v>600</v>
      </c>
      <c r="M19" s="39">
        <v>7200</v>
      </c>
      <c r="N19" s="40">
        <v>6.8</v>
      </c>
      <c r="O19" s="41">
        <v>4092</v>
      </c>
      <c r="P19" s="47">
        <v>49100.2</v>
      </c>
      <c r="Q19" s="76">
        <f t="shared" si="0"/>
        <v>231413170.616</v>
      </c>
      <c r="R19" s="57">
        <f t="shared" si="1"/>
        <v>2455.0099999999998</v>
      </c>
      <c r="S19" s="40">
        <f t="shared" si="1"/>
        <v>4910.0199999999995</v>
      </c>
      <c r="T19" s="40">
        <f t="shared" si="1"/>
        <v>0</v>
      </c>
      <c r="U19" s="47">
        <f t="shared" si="1"/>
        <v>0</v>
      </c>
    </row>
    <row r="20" spans="2:21" x14ac:dyDescent="0.3">
      <c r="B20" s="45" t="s">
        <v>452</v>
      </c>
      <c r="C20" s="49">
        <v>0.05</v>
      </c>
      <c r="D20" s="49">
        <v>0.05</v>
      </c>
      <c r="E20" s="49">
        <v>0</v>
      </c>
      <c r="F20" s="49">
        <v>0</v>
      </c>
      <c r="G20" s="15"/>
      <c r="H20" s="15">
        <v>10</v>
      </c>
      <c r="I20" s="15"/>
      <c r="J20" s="15">
        <v>1</v>
      </c>
      <c r="K20" s="15">
        <v>40</v>
      </c>
      <c r="L20" s="39">
        <v>1200</v>
      </c>
      <c r="M20" s="39">
        <v>14400</v>
      </c>
      <c r="N20" s="40">
        <v>0.2</v>
      </c>
      <c r="O20" s="41">
        <v>248</v>
      </c>
      <c r="P20" s="47">
        <v>2975.7</v>
      </c>
      <c r="Q20" s="76">
        <f t="shared" si="0"/>
        <v>14024712.155999999</v>
      </c>
      <c r="R20" s="57">
        <f t="shared" si="1"/>
        <v>148.785</v>
      </c>
      <c r="S20" s="40">
        <f t="shared" si="1"/>
        <v>148.785</v>
      </c>
      <c r="T20" s="40">
        <f t="shared" si="1"/>
        <v>0</v>
      </c>
      <c r="U20" s="47">
        <f t="shared" si="1"/>
        <v>0</v>
      </c>
    </row>
    <row r="21" spans="2:21" x14ac:dyDescent="0.3">
      <c r="B21" s="45" t="s">
        <v>453</v>
      </c>
      <c r="C21" s="49">
        <v>0.15</v>
      </c>
      <c r="D21" s="49">
        <v>0</v>
      </c>
      <c r="E21" s="49">
        <v>0</v>
      </c>
      <c r="F21" s="49">
        <v>0</v>
      </c>
      <c r="G21" s="15"/>
      <c r="H21" s="15">
        <v>6</v>
      </c>
      <c r="I21" s="15"/>
      <c r="J21" s="15">
        <v>1</v>
      </c>
      <c r="K21" s="15">
        <v>6</v>
      </c>
      <c r="L21" s="15">
        <v>180</v>
      </c>
      <c r="M21" s="39">
        <v>2160</v>
      </c>
      <c r="N21" s="40">
        <v>25.2</v>
      </c>
      <c r="O21" s="41">
        <v>4530</v>
      </c>
      <c r="P21" s="47">
        <v>54356.7</v>
      </c>
      <c r="Q21" s="76">
        <f t="shared" si="0"/>
        <v>256187475.63599998</v>
      </c>
      <c r="R21" s="57">
        <f t="shared" si="1"/>
        <v>8153.5049999999992</v>
      </c>
      <c r="S21" s="40">
        <f t="shared" si="1"/>
        <v>0</v>
      </c>
      <c r="T21" s="40">
        <f t="shared" si="1"/>
        <v>0</v>
      </c>
      <c r="U21" s="47">
        <f t="shared" si="1"/>
        <v>0</v>
      </c>
    </row>
    <row r="22" spans="2:21" x14ac:dyDescent="0.3">
      <c r="B22" s="45"/>
      <c r="C22" s="49"/>
      <c r="D22" s="49"/>
      <c r="E22" s="49"/>
      <c r="F22" s="49"/>
      <c r="G22" s="15"/>
      <c r="H22" s="15"/>
      <c r="I22" s="15"/>
      <c r="J22" s="15"/>
      <c r="K22" s="15"/>
      <c r="L22" s="15"/>
      <c r="M22" s="39"/>
      <c r="N22" s="40"/>
      <c r="O22" s="41"/>
      <c r="P22" s="47"/>
      <c r="Q22" s="76">
        <f t="shared" si="0"/>
        <v>0</v>
      </c>
      <c r="R22" s="57">
        <f t="shared" si="1"/>
        <v>0</v>
      </c>
      <c r="S22" s="40">
        <f t="shared" si="1"/>
        <v>0</v>
      </c>
      <c r="T22" s="40">
        <f t="shared" si="1"/>
        <v>0</v>
      </c>
      <c r="U22" s="47">
        <f t="shared" si="1"/>
        <v>0</v>
      </c>
    </row>
    <row r="23" spans="2:21" ht="23" x14ac:dyDescent="0.5">
      <c r="B23" s="46" t="s">
        <v>62</v>
      </c>
      <c r="C23" s="50"/>
      <c r="D23" s="50"/>
      <c r="E23" s="50"/>
      <c r="F23" s="50"/>
      <c r="G23" s="15"/>
      <c r="H23" s="15"/>
      <c r="I23" s="15"/>
      <c r="J23" s="15"/>
      <c r="K23" s="15"/>
      <c r="L23" s="15"/>
      <c r="M23" s="15"/>
      <c r="N23" s="15"/>
      <c r="O23" s="15"/>
      <c r="P23" s="33"/>
      <c r="Q23" s="76">
        <f t="shared" si="0"/>
        <v>0</v>
      </c>
      <c r="R23" s="57">
        <f t="shared" si="1"/>
        <v>0</v>
      </c>
      <c r="S23" s="40">
        <f t="shared" si="1"/>
        <v>0</v>
      </c>
      <c r="T23" s="40">
        <f t="shared" si="1"/>
        <v>0</v>
      </c>
      <c r="U23" s="47">
        <f t="shared" si="1"/>
        <v>0</v>
      </c>
    </row>
    <row r="24" spans="2:21" x14ac:dyDescent="0.3">
      <c r="B24" s="45" t="s">
        <v>454</v>
      </c>
      <c r="C24" s="49">
        <v>0</v>
      </c>
      <c r="D24" s="49">
        <v>0.25</v>
      </c>
      <c r="E24" s="49">
        <v>0.25</v>
      </c>
      <c r="F24" s="49">
        <v>0</v>
      </c>
      <c r="G24" s="15"/>
      <c r="H24" s="15">
        <v>127.5</v>
      </c>
      <c r="I24" s="15"/>
      <c r="J24" s="15">
        <v>5</v>
      </c>
      <c r="K24" s="15">
        <v>257.5</v>
      </c>
      <c r="L24" s="42">
        <v>7725</v>
      </c>
      <c r="M24" s="42">
        <v>92700</v>
      </c>
      <c r="N24" s="40">
        <v>14.4</v>
      </c>
      <c r="O24" s="41">
        <v>3846</v>
      </c>
      <c r="P24" s="47">
        <v>46155.8</v>
      </c>
      <c r="Q24" s="76">
        <f t="shared" si="0"/>
        <v>217535977.86400002</v>
      </c>
      <c r="R24" s="57">
        <f t="shared" si="1"/>
        <v>0</v>
      </c>
      <c r="S24" s="40">
        <f t="shared" si="1"/>
        <v>11538.95</v>
      </c>
      <c r="T24" s="40">
        <f t="shared" si="1"/>
        <v>11538.95</v>
      </c>
      <c r="U24" s="47">
        <f t="shared" si="1"/>
        <v>0</v>
      </c>
    </row>
    <row r="25" spans="2:21" x14ac:dyDescent="0.3">
      <c r="B25" s="45" t="s">
        <v>455</v>
      </c>
      <c r="C25" s="49">
        <v>0</v>
      </c>
      <c r="D25" s="49">
        <v>0.1</v>
      </c>
      <c r="E25" s="49">
        <v>0.15</v>
      </c>
      <c r="F25" s="49">
        <v>0</v>
      </c>
      <c r="G25" s="15"/>
      <c r="H25" s="15">
        <v>165</v>
      </c>
      <c r="I25" s="15"/>
      <c r="J25" s="15">
        <v>3</v>
      </c>
      <c r="K25" s="15">
        <v>290</v>
      </c>
      <c r="L25" s="39">
        <v>8700</v>
      </c>
      <c r="M25" s="39">
        <v>104400</v>
      </c>
      <c r="N25" s="40">
        <v>0.3</v>
      </c>
      <c r="O25" s="41">
        <v>868</v>
      </c>
      <c r="P25" s="47">
        <v>10419.6</v>
      </c>
      <c r="Q25" s="76">
        <f t="shared" si="0"/>
        <v>49108408.368000001</v>
      </c>
      <c r="R25" s="57">
        <f t="shared" si="1"/>
        <v>0</v>
      </c>
      <c r="S25" s="40">
        <f t="shared" si="1"/>
        <v>1041.96</v>
      </c>
      <c r="T25" s="40">
        <f t="shared" si="1"/>
        <v>1562.94</v>
      </c>
      <c r="U25" s="47">
        <f t="shared" si="1"/>
        <v>0</v>
      </c>
    </row>
    <row r="26" spans="2:21" x14ac:dyDescent="0.3">
      <c r="B26" s="45" t="s">
        <v>456</v>
      </c>
      <c r="C26" s="49">
        <v>0</v>
      </c>
      <c r="D26" s="49">
        <v>0.05</v>
      </c>
      <c r="E26" s="49">
        <v>0.25</v>
      </c>
      <c r="F26" s="49">
        <v>0</v>
      </c>
      <c r="G26" s="15"/>
      <c r="H26" s="15">
        <v>30</v>
      </c>
      <c r="I26" s="15"/>
      <c r="J26" s="15">
        <v>5</v>
      </c>
      <c r="K26" s="15">
        <v>80</v>
      </c>
      <c r="L26" s="39">
        <v>2400</v>
      </c>
      <c r="M26" s="39">
        <v>28800</v>
      </c>
      <c r="N26" s="40">
        <v>6.8</v>
      </c>
      <c r="O26" s="41">
        <v>4133</v>
      </c>
      <c r="P26" s="47">
        <v>49591.199999999997</v>
      </c>
      <c r="Q26" s="76">
        <f t="shared" si="0"/>
        <v>233727292.89599997</v>
      </c>
      <c r="R26" s="57">
        <f t="shared" si="1"/>
        <v>0</v>
      </c>
      <c r="S26" s="40">
        <f t="shared" si="1"/>
        <v>2479.56</v>
      </c>
      <c r="T26" s="40">
        <f t="shared" si="1"/>
        <v>12397.8</v>
      </c>
      <c r="U26" s="47">
        <f t="shared" si="1"/>
        <v>0</v>
      </c>
    </row>
    <row r="27" spans="2:21" x14ac:dyDescent="0.3">
      <c r="B27" s="45" t="s">
        <v>457</v>
      </c>
      <c r="C27" s="49">
        <v>0</v>
      </c>
      <c r="D27" s="49">
        <v>0</v>
      </c>
      <c r="E27" s="49">
        <v>0.1</v>
      </c>
      <c r="F27" s="49">
        <v>0</v>
      </c>
      <c r="G27" s="15"/>
      <c r="H27" s="15">
        <v>131</v>
      </c>
      <c r="I27" s="15"/>
      <c r="J27" s="15">
        <v>3</v>
      </c>
      <c r="K27" s="15">
        <v>256</v>
      </c>
      <c r="L27" s="39">
        <v>7680</v>
      </c>
      <c r="M27" s="39">
        <v>92160</v>
      </c>
      <c r="N27" s="40">
        <v>25.2</v>
      </c>
      <c r="O27" s="41">
        <v>5150</v>
      </c>
      <c r="P27" s="47">
        <v>61800.6</v>
      </c>
      <c r="Q27" s="76">
        <f t="shared" si="0"/>
        <v>291271171.84799999</v>
      </c>
      <c r="R27" s="57">
        <f t="shared" si="1"/>
        <v>0</v>
      </c>
      <c r="S27" s="40">
        <f t="shared" si="1"/>
        <v>0</v>
      </c>
      <c r="T27" s="40">
        <f t="shared" si="1"/>
        <v>6180.06</v>
      </c>
      <c r="U27" s="47">
        <f t="shared" si="1"/>
        <v>0</v>
      </c>
    </row>
    <row r="28" spans="2:21" x14ac:dyDescent="0.3">
      <c r="B28" s="45" t="s">
        <v>458</v>
      </c>
      <c r="C28" s="49">
        <v>0</v>
      </c>
      <c r="D28" s="49">
        <v>0</v>
      </c>
      <c r="E28" s="49">
        <v>0.05</v>
      </c>
      <c r="F28" s="49">
        <v>0</v>
      </c>
      <c r="G28" s="15"/>
      <c r="H28" s="15">
        <v>30</v>
      </c>
      <c r="I28" s="15"/>
      <c r="J28" s="15">
        <v>4</v>
      </c>
      <c r="K28" s="15">
        <v>70</v>
      </c>
      <c r="L28" s="39">
        <v>2100</v>
      </c>
      <c r="M28" s="39">
        <v>25200</v>
      </c>
      <c r="N28" s="40">
        <v>7.5</v>
      </c>
      <c r="O28" s="41">
        <v>2293</v>
      </c>
      <c r="P28" s="47">
        <v>27512.2</v>
      </c>
      <c r="Q28" s="76">
        <f t="shared" si="0"/>
        <v>129667199.57600001</v>
      </c>
      <c r="R28" s="57">
        <f t="shared" si="1"/>
        <v>0</v>
      </c>
      <c r="S28" s="40">
        <f t="shared" si="1"/>
        <v>0</v>
      </c>
      <c r="T28" s="40">
        <f t="shared" si="1"/>
        <v>1375.6100000000001</v>
      </c>
      <c r="U28" s="47">
        <f t="shared" si="1"/>
        <v>0</v>
      </c>
    </row>
    <row r="29" spans="2:21" x14ac:dyDescent="0.3">
      <c r="B29" s="45" t="s">
        <v>459</v>
      </c>
      <c r="C29" s="49">
        <v>0</v>
      </c>
      <c r="D29" s="49">
        <v>0</v>
      </c>
      <c r="E29" s="49">
        <v>0</v>
      </c>
      <c r="F29" s="49">
        <v>0</v>
      </c>
      <c r="G29" s="15"/>
      <c r="H29" s="15">
        <v>50</v>
      </c>
      <c r="I29" s="15"/>
      <c r="J29" s="15">
        <v>2</v>
      </c>
      <c r="K29" s="15">
        <v>50</v>
      </c>
      <c r="L29" s="39">
        <v>1500</v>
      </c>
      <c r="M29" s="39">
        <v>18000</v>
      </c>
      <c r="N29" s="40">
        <v>7.7</v>
      </c>
      <c r="O29" s="41">
        <v>2500</v>
      </c>
      <c r="P29" s="47">
        <v>29996.9</v>
      </c>
      <c r="Q29" s="76">
        <f t="shared" si="0"/>
        <v>141377789.45199999</v>
      </c>
      <c r="R29" s="57">
        <f t="shared" si="1"/>
        <v>0</v>
      </c>
      <c r="S29" s="40">
        <f t="shared" si="1"/>
        <v>0</v>
      </c>
      <c r="T29" s="40">
        <f t="shared" si="1"/>
        <v>0</v>
      </c>
      <c r="U29" s="47">
        <f t="shared" si="1"/>
        <v>0</v>
      </c>
    </row>
    <row r="30" spans="2:21" x14ac:dyDescent="0.3">
      <c r="B30" s="45" t="s">
        <v>460</v>
      </c>
      <c r="C30" s="49">
        <v>0</v>
      </c>
      <c r="D30" s="49">
        <v>0</v>
      </c>
      <c r="E30" s="49">
        <v>0.15</v>
      </c>
      <c r="F30" s="49">
        <v>0</v>
      </c>
      <c r="G30" s="15"/>
      <c r="H30" s="15">
        <v>13</v>
      </c>
      <c r="I30" s="15"/>
      <c r="J30" s="15">
        <v>4</v>
      </c>
      <c r="K30" s="15">
        <v>18</v>
      </c>
      <c r="L30" s="15">
        <v>525</v>
      </c>
      <c r="M30" s="39">
        <v>6300</v>
      </c>
      <c r="N30" s="40">
        <v>21.8</v>
      </c>
      <c r="O30" s="41">
        <v>5478</v>
      </c>
      <c r="P30" s="47">
        <v>65733.100000000006</v>
      </c>
      <c r="Q30" s="76">
        <f t="shared" si="0"/>
        <v>309805358.94800001</v>
      </c>
      <c r="R30" s="57">
        <f t="shared" si="1"/>
        <v>0</v>
      </c>
      <c r="S30" s="40">
        <f t="shared" si="1"/>
        <v>0</v>
      </c>
      <c r="T30" s="40">
        <f t="shared" si="1"/>
        <v>9859.9650000000001</v>
      </c>
      <c r="U30" s="47">
        <f t="shared" si="1"/>
        <v>0</v>
      </c>
    </row>
    <row r="31" spans="2:21" x14ac:dyDescent="0.3">
      <c r="B31" s="45" t="s">
        <v>461</v>
      </c>
      <c r="C31" s="49">
        <v>0</v>
      </c>
      <c r="D31" s="49">
        <v>0</v>
      </c>
      <c r="E31" s="49">
        <v>0</v>
      </c>
      <c r="F31" s="49">
        <v>0</v>
      </c>
      <c r="G31" s="15"/>
      <c r="H31" s="15">
        <v>131</v>
      </c>
      <c r="I31" s="15"/>
      <c r="J31" s="15">
        <v>3</v>
      </c>
      <c r="K31" s="15">
        <v>256</v>
      </c>
      <c r="L31" s="39">
        <v>7680</v>
      </c>
      <c r="M31" s="39">
        <v>92160</v>
      </c>
      <c r="N31" s="40">
        <v>25.2</v>
      </c>
      <c r="O31" s="41">
        <v>5150</v>
      </c>
      <c r="P31" s="47">
        <v>61800.6</v>
      </c>
      <c r="Q31" s="76">
        <f t="shared" si="0"/>
        <v>291271171.84799999</v>
      </c>
      <c r="R31" s="57">
        <f t="shared" si="1"/>
        <v>0</v>
      </c>
      <c r="S31" s="40">
        <f t="shared" si="1"/>
        <v>0</v>
      </c>
      <c r="T31" s="40">
        <f t="shared" si="1"/>
        <v>0</v>
      </c>
      <c r="U31" s="47">
        <f t="shared" si="1"/>
        <v>0</v>
      </c>
    </row>
    <row r="32" spans="2:21" x14ac:dyDescent="0.3">
      <c r="B32" s="45" t="s">
        <v>462</v>
      </c>
      <c r="C32" s="49">
        <v>0</v>
      </c>
      <c r="D32" s="49">
        <v>0</v>
      </c>
      <c r="E32" s="49">
        <v>0</v>
      </c>
      <c r="F32" s="49">
        <v>0</v>
      </c>
      <c r="G32" s="15"/>
      <c r="H32" s="15">
        <v>145</v>
      </c>
      <c r="I32" s="15"/>
      <c r="J32" s="15">
        <v>5</v>
      </c>
      <c r="K32" s="15">
        <v>310</v>
      </c>
      <c r="L32" s="39">
        <v>9300</v>
      </c>
      <c r="M32" s="39">
        <v>111600</v>
      </c>
      <c r="N32" s="40">
        <v>0.1</v>
      </c>
      <c r="O32" s="41">
        <v>661</v>
      </c>
      <c r="P32" s="47">
        <v>7934.9</v>
      </c>
      <c r="Q32" s="76">
        <f t="shared" si="0"/>
        <v>37397818.491999999</v>
      </c>
      <c r="R32" s="57">
        <f t="shared" si="1"/>
        <v>0</v>
      </c>
      <c r="S32" s="40">
        <f t="shared" si="1"/>
        <v>0</v>
      </c>
      <c r="T32" s="40">
        <f t="shared" si="1"/>
        <v>0</v>
      </c>
      <c r="U32" s="47">
        <f t="shared" si="1"/>
        <v>0</v>
      </c>
    </row>
    <row r="33" spans="2:21" x14ac:dyDescent="0.3">
      <c r="B33" s="45" t="s">
        <v>463</v>
      </c>
      <c r="C33" s="49">
        <v>0</v>
      </c>
      <c r="D33" s="49">
        <v>0</v>
      </c>
      <c r="E33" s="49">
        <v>0</v>
      </c>
      <c r="F33" s="49">
        <v>0</v>
      </c>
      <c r="G33" s="15"/>
      <c r="H33" s="15">
        <v>8.5</v>
      </c>
      <c r="I33" s="15"/>
      <c r="J33" s="15">
        <v>4</v>
      </c>
      <c r="K33" s="15">
        <v>13.5</v>
      </c>
      <c r="L33" s="15">
        <v>405</v>
      </c>
      <c r="M33" s="42">
        <v>4860</v>
      </c>
      <c r="N33" s="40">
        <v>39.5</v>
      </c>
      <c r="O33" s="41">
        <v>7756</v>
      </c>
      <c r="P33" s="47">
        <v>93068.5</v>
      </c>
      <c r="Q33" s="76">
        <f t="shared" si="0"/>
        <v>438639285.98000002</v>
      </c>
      <c r="R33" s="57">
        <f t="shared" si="1"/>
        <v>0</v>
      </c>
      <c r="S33" s="40">
        <f t="shared" si="1"/>
        <v>0</v>
      </c>
      <c r="T33" s="40">
        <f t="shared" si="1"/>
        <v>0</v>
      </c>
      <c r="U33" s="47">
        <f t="shared" si="1"/>
        <v>0</v>
      </c>
    </row>
    <row r="34" spans="2:21" x14ac:dyDescent="0.3">
      <c r="B34" s="45"/>
      <c r="C34" s="49"/>
      <c r="D34" s="49"/>
      <c r="E34" s="49"/>
      <c r="F34" s="49"/>
      <c r="G34" s="15"/>
      <c r="H34" s="15"/>
      <c r="I34" s="15"/>
      <c r="J34" s="15"/>
      <c r="K34" s="15"/>
      <c r="L34" s="15"/>
      <c r="M34" s="42"/>
      <c r="N34" s="40"/>
      <c r="O34" s="41"/>
      <c r="P34" s="47"/>
      <c r="Q34" s="76">
        <f t="shared" si="0"/>
        <v>0</v>
      </c>
      <c r="R34" s="57">
        <f t="shared" si="1"/>
        <v>0</v>
      </c>
      <c r="S34" s="40">
        <f t="shared" si="1"/>
        <v>0</v>
      </c>
      <c r="T34" s="40">
        <f t="shared" si="1"/>
        <v>0</v>
      </c>
      <c r="U34" s="47">
        <f t="shared" si="1"/>
        <v>0</v>
      </c>
    </row>
    <row r="35" spans="2:21" ht="23" x14ac:dyDescent="0.5">
      <c r="B35" s="46" t="s">
        <v>73</v>
      </c>
      <c r="C35" s="50"/>
      <c r="D35" s="50"/>
      <c r="E35" s="50"/>
      <c r="F35" s="50"/>
      <c r="G35" s="15"/>
      <c r="H35" s="15"/>
      <c r="I35" s="15"/>
      <c r="J35" s="15"/>
      <c r="K35" s="15"/>
      <c r="L35" s="15"/>
      <c r="M35" s="15"/>
      <c r="N35" s="15"/>
      <c r="O35" s="15"/>
      <c r="P35" s="33"/>
      <c r="Q35" s="76">
        <f t="shared" si="0"/>
        <v>0</v>
      </c>
      <c r="R35" s="57">
        <f t="shared" si="1"/>
        <v>0</v>
      </c>
      <c r="S35" s="40">
        <f t="shared" si="1"/>
        <v>0</v>
      </c>
      <c r="T35" s="40">
        <f t="shared" si="1"/>
        <v>0</v>
      </c>
      <c r="U35" s="47">
        <f t="shared" si="1"/>
        <v>0</v>
      </c>
    </row>
    <row r="36" spans="2:21" x14ac:dyDescent="0.3">
      <c r="B36" s="45" t="s">
        <v>464</v>
      </c>
      <c r="C36" s="49">
        <v>0</v>
      </c>
      <c r="D36" s="49">
        <v>0</v>
      </c>
      <c r="E36" s="49">
        <v>0.05</v>
      </c>
      <c r="F36" s="49">
        <v>0.25</v>
      </c>
      <c r="G36" s="15"/>
      <c r="H36" s="15">
        <v>171</v>
      </c>
      <c r="I36" s="15"/>
      <c r="J36" s="15">
        <v>4</v>
      </c>
      <c r="K36" s="15">
        <v>296</v>
      </c>
      <c r="L36" s="39">
        <v>8880</v>
      </c>
      <c r="M36" s="39">
        <v>106560</v>
      </c>
      <c r="N36" s="40">
        <v>25.5</v>
      </c>
      <c r="O36" s="41">
        <v>5398</v>
      </c>
      <c r="P36" s="47">
        <v>64776.3</v>
      </c>
      <c r="Q36" s="76">
        <f t="shared" si="0"/>
        <v>305295884.00400001</v>
      </c>
      <c r="R36" s="57">
        <f t="shared" si="1"/>
        <v>0</v>
      </c>
      <c r="S36" s="40">
        <f t="shared" si="1"/>
        <v>0</v>
      </c>
      <c r="T36" s="40">
        <f t="shared" si="1"/>
        <v>3238.8150000000005</v>
      </c>
      <c r="U36" s="47">
        <f t="shared" si="1"/>
        <v>16194.075000000001</v>
      </c>
    </row>
    <row r="37" spans="2:21" x14ac:dyDescent="0.3">
      <c r="B37" s="45" t="s">
        <v>465</v>
      </c>
      <c r="C37" s="49">
        <v>0</v>
      </c>
      <c r="D37" s="49">
        <v>0</v>
      </c>
      <c r="E37" s="49">
        <v>0</v>
      </c>
      <c r="F37" s="49">
        <v>0.15</v>
      </c>
      <c r="G37" s="15"/>
      <c r="H37" s="15">
        <v>36</v>
      </c>
      <c r="I37" s="15"/>
      <c r="J37" s="15">
        <v>5</v>
      </c>
      <c r="K37" s="15">
        <v>76</v>
      </c>
      <c r="L37" s="39">
        <v>2280</v>
      </c>
      <c r="M37" s="39">
        <v>27360</v>
      </c>
      <c r="N37" s="40">
        <v>32.700000000000003</v>
      </c>
      <c r="O37" s="41">
        <v>6822</v>
      </c>
      <c r="P37" s="47">
        <v>81868.800000000003</v>
      </c>
      <c r="Q37" s="76">
        <f t="shared" si="0"/>
        <v>385854203.90399998</v>
      </c>
      <c r="R37" s="57">
        <f t="shared" si="1"/>
        <v>0</v>
      </c>
      <c r="S37" s="40">
        <f t="shared" si="1"/>
        <v>0</v>
      </c>
      <c r="T37" s="40">
        <f t="shared" si="1"/>
        <v>0</v>
      </c>
      <c r="U37" s="47">
        <f t="shared" si="1"/>
        <v>12280.32</v>
      </c>
    </row>
    <row r="38" spans="2:21" x14ac:dyDescent="0.3">
      <c r="B38" s="45" t="s">
        <v>466</v>
      </c>
      <c r="C38" s="49">
        <v>0</v>
      </c>
      <c r="D38" s="49">
        <v>0</v>
      </c>
      <c r="E38" s="49">
        <v>0</v>
      </c>
      <c r="F38" s="49">
        <v>0.1</v>
      </c>
      <c r="G38" s="15"/>
      <c r="H38" s="15">
        <v>36</v>
      </c>
      <c r="I38" s="15"/>
      <c r="J38" s="15">
        <v>6</v>
      </c>
      <c r="K38" s="15">
        <v>86</v>
      </c>
      <c r="L38" s="39">
        <v>2580</v>
      </c>
      <c r="M38" s="39">
        <v>30960</v>
      </c>
      <c r="N38" s="40">
        <v>32</v>
      </c>
      <c r="O38" s="41">
        <v>8662</v>
      </c>
      <c r="P38" s="47">
        <v>103947.9</v>
      </c>
      <c r="Q38" s="76">
        <f t="shared" si="0"/>
        <v>489914768.53199995</v>
      </c>
      <c r="R38" s="57">
        <f t="shared" si="1"/>
        <v>0</v>
      </c>
      <c r="S38" s="40">
        <f t="shared" si="1"/>
        <v>0</v>
      </c>
      <c r="T38" s="40">
        <f t="shared" si="1"/>
        <v>0</v>
      </c>
      <c r="U38" s="47">
        <f t="shared" si="1"/>
        <v>10394.790000000001</v>
      </c>
    </row>
    <row r="39" spans="2:21" x14ac:dyDescent="0.3">
      <c r="B39" s="45" t="s">
        <v>467</v>
      </c>
      <c r="C39" s="49">
        <v>0</v>
      </c>
      <c r="D39" s="49">
        <v>0</v>
      </c>
      <c r="E39" s="49">
        <v>0</v>
      </c>
      <c r="F39" s="49">
        <v>0.25</v>
      </c>
      <c r="G39" s="15"/>
      <c r="H39" s="15">
        <v>18.5</v>
      </c>
      <c r="I39" s="15"/>
      <c r="J39" s="15">
        <v>5</v>
      </c>
      <c r="K39" s="15">
        <v>23.5</v>
      </c>
      <c r="L39" s="15">
        <v>705</v>
      </c>
      <c r="M39" s="42">
        <v>8460</v>
      </c>
      <c r="N39" s="40">
        <v>47</v>
      </c>
      <c r="O39" s="41">
        <v>10007</v>
      </c>
      <c r="P39" s="47">
        <v>120089.7</v>
      </c>
      <c r="Q39" s="76">
        <f t="shared" si="0"/>
        <v>565992363.27600002</v>
      </c>
      <c r="R39" s="57">
        <f t="shared" si="1"/>
        <v>0</v>
      </c>
      <c r="S39" s="40">
        <f t="shared" si="1"/>
        <v>0</v>
      </c>
      <c r="T39" s="40">
        <f t="shared" si="1"/>
        <v>0</v>
      </c>
      <c r="U39" s="47">
        <f t="shared" si="1"/>
        <v>30022.424999999999</v>
      </c>
    </row>
    <row r="40" spans="2:21" x14ac:dyDescent="0.3">
      <c r="B40" s="45" t="s">
        <v>468</v>
      </c>
      <c r="C40" s="49">
        <v>0</v>
      </c>
      <c r="D40" s="49">
        <v>0</v>
      </c>
      <c r="E40" s="49">
        <v>0</v>
      </c>
      <c r="F40" s="49">
        <v>0.1</v>
      </c>
      <c r="G40" s="15"/>
      <c r="H40" s="15">
        <v>133.5</v>
      </c>
      <c r="I40" s="15"/>
      <c r="J40" s="15">
        <v>6</v>
      </c>
      <c r="K40" s="15">
        <v>263.5</v>
      </c>
      <c r="L40" s="42">
        <v>7905</v>
      </c>
      <c r="M40" s="42">
        <v>94860</v>
      </c>
      <c r="N40" s="40">
        <v>39.6</v>
      </c>
      <c r="O40" s="41">
        <v>8376</v>
      </c>
      <c r="P40" s="47">
        <v>100512.5</v>
      </c>
      <c r="Q40" s="76">
        <f t="shared" si="0"/>
        <v>473723453.5</v>
      </c>
      <c r="R40" s="57">
        <f t="shared" si="1"/>
        <v>0</v>
      </c>
      <c r="S40" s="40">
        <f t="shared" si="1"/>
        <v>0</v>
      </c>
      <c r="T40" s="40">
        <f t="shared" si="1"/>
        <v>0</v>
      </c>
      <c r="U40" s="47">
        <f t="shared" si="1"/>
        <v>10051.25</v>
      </c>
    </row>
    <row r="41" spans="2:21" ht="14.5" thickBot="1" x14ac:dyDescent="0.35">
      <c r="B41" s="45" t="s">
        <v>469</v>
      </c>
      <c r="C41" s="49">
        <v>0</v>
      </c>
      <c r="D41" s="49">
        <v>0</v>
      </c>
      <c r="E41" s="49">
        <v>0</v>
      </c>
      <c r="F41" s="49">
        <v>0.15</v>
      </c>
      <c r="G41" s="15"/>
      <c r="H41" s="15">
        <v>18.5</v>
      </c>
      <c r="I41" s="15"/>
      <c r="J41" s="15">
        <v>6</v>
      </c>
      <c r="K41" s="15">
        <v>33.5</v>
      </c>
      <c r="L41" s="42">
        <v>1005</v>
      </c>
      <c r="M41" s="42">
        <v>12060</v>
      </c>
      <c r="N41" s="40">
        <v>46.3</v>
      </c>
      <c r="O41" s="41">
        <v>11847</v>
      </c>
      <c r="P41" s="47">
        <v>142168.70000000001</v>
      </c>
      <c r="Q41" s="76">
        <f t="shared" si="0"/>
        <v>670052456.59600008</v>
      </c>
      <c r="R41" s="58">
        <f>C41*$P41</f>
        <v>0</v>
      </c>
      <c r="S41" s="59">
        <f t="shared" si="1"/>
        <v>0</v>
      </c>
      <c r="T41" s="59">
        <f t="shared" si="1"/>
        <v>0</v>
      </c>
      <c r="U41" s="60">
        <f t="shared" si="1"/>
        <v>21325.305</v>
      </c>
    </row>
    <row r="42" spans="2:21" x14ac:dyDescent="0.3">
      <c r="C42" s="48">
        <f>SUM(C15:C22,C24:C33,C36:C41)</f>
        <v>1.0000000000000002</v>
      </c>
      <c r="D42" s="48">
        <f t="shared" ref="D42:F42" si="2">SUM(D15:D22,D24:D33,D36:D41)</f>
        <v>1</v>
      </c>
      <c r="E42" s="48">
        <f t="shared" si="2"/>
        <v>1</v>
      </c>
      <c r="F42" s="48">
        <f t="shared" si="2"/>
        <v>1</v>
      </c>
      <c r="R42" s="3">
        <f>SUM(R15:R41)</f>
        <v>23050.235000000001</v>
      </c>
      <c r="S42" s="3">
        <f t="shared" ref="S42:U42" si="3">SUM(S15:S41)</f>
        <v>32896.120000000003</v>
      </c>
      <c r="T42" s="3">
        <f t="shared" si="3"/>
        <v>46154.14</v>
      </c>
      <c r="U42" s="3">
        <f t="shared" si="3"/>
        <v>100268.16500000001</v>
      </c>
    </row>
  </sheetData>
  <pageMargins left="0.7" right="0.7" top="0.75" bottom="0.75" header="0.3" footer="0.3"/>
  <pageSetup paperSize="9" orientation="portrait" horizontalDpi="360" verticalDpi="360" r:id="rId1"/>
  <headerFooter>
    <oddFooter>&amp;R_x000D_&amp;1#&amp;"Calibri"&amp;22&amp;KFF8939 RESTRICTED</oddFoot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827F43-AB44-4F1B-B177-165FAA945751}">
  <sheetPr>
    <tabColor theme="9"/>
  </sheetPr>
  <dimension ref="A1:J130"/>
  <sheetViews>
    <sheetView showGridLines="0" topLeftCell="A91" zoomScale="61" zoomScaleNormal="33" workbookViewId="0">
      <selection activeCell="G19" sqref="G19"/>
    </sheetView>
  </sheetViews>
  <sheetFormatPr baseColWidth="10" defaultColWidth="0" defaultRowHeight="20" zeroHeight="1" x14ac:dyDescent="0.4"/>
  <cols>
    <col min="1" max="1" width="3.33203125" style="16" customWidth="1"/>
    <col min="2" max="2" width="51.1640625" style="16" bestFit="1" customWidth="1"/>
    <col min="3" max="3" width="30.5" style="16" bestFit="1" customWidth="1"/>
    <col min="4" max="4" width="27.1640625" style="16" bestFit="1" customWidth="1"/>
    <col min="5" max="5" width="29.83203125" style="16" bestFit="1" customWidth="1"/>
    <col min="6" max="6" width="33.1640625" style="16" bestFit="1" customWidth="1"/>
    <col min="7" max="7" width="29.33203125" style="16" customWidth="1"/>
    <col min="8" max="10" width="11" style="16" customWidth="1"/>
    <col min="11" max="16384" width="11" style="16" hidden="1"/>
  </cols>
  <sheetData>
    <row r="1" spans="2:5" x14ac:dyDescent="0.4"/>
    <row r="2" spans="2:5" x14ac:dyDescent="0.4"/>
    <row r="3" spans="2:5" x14ac:dyDescent="0.4"/>
    <row r="4" spans="2:5" x14ac:dyDescent="0.4"/>
    <row r="5" spans="2:5" x14ac:dyDescent="0.4"/>
    <row r="6" spans="2:5" x14ac:dyDescent="0.4"/>
    <row r="7" spans="2:5" ht="23" x14ac:dyDescent="0.5">
      <c r="B7" s="143" t="s">
        <v>19</v>
      </c>
      <c r="C7" s="320">
        <f>'Input-Ponderador riesgo'!C7</f>
        <v>100</v>
      </c>
    </row>
    <row r="8" spans="2:5" x14ac:dyDescent="0.4">
      <c r="B8" s="138"/>
      <c r="C8" s="138"/>
    </row>
    <row r="9" spans="2:5" ht="40" x14ac:dyDescent="0.4">
      <c r="B9" s="199"/>
      <c r="C9" s="331" t="s">
        <v>37</v>
      </c>
      <c r="D9" s="331" t="s">
        <v>45</v>
      </c>
      <c r="E9" s="331" t="s">
        <v>39</v>
      </c>
    </row>
    <row r="10" spans="2:5" ht="40" x14ac:dyDescent="0.4">
      <c r="B10" s="331" t="s">
        <v>470</v>
      </c>
      <c r="C10" s="333">
        <f>'Input-Ponderador riesgo'!C16</f>
        <v>35</v>
      </c>
      <c r="D10" s="333">
        <f>'Input-Ponderador riesgo'!D16</f>
        <v>55</v>
      </c>
      <c r="E10" s="333">
        <f>'Input-Ponderador riesgo'!E16</f>
        <v>10</v>
      </c>
    </row>
    <row r="11" spans="2:5" x14ac:dyDescent="0.4">
      <c r="B11" s="332" t="s">
        <v>471</v>
      </c>
      <c r="C11" s="334">
        <f>C10/$C$7</f>
        <v>0.35</v>
      </c>
      <c r="D11" s="334">
        <f t="shared" ref="D11:E11" si="0">D10/$C$7</f>
        <v>0.55000000000000004</v>
      </c>
      <c r="E11" s="334">
        <f t="shared" si="0"/>
        <v>0.1</v>
      </c>
    </row>
    <row r="12" spans="2:5" x14ac:dyDescent="0.4">
      <c r="B12" s="99"/>
      <c r="C12" s="326"/>
      <c r="D12" s="326"/>
      <c r="E12" s="326"/>
    </row>
    <row r="13" spans="2:5" x14ac:dyDescent="0.4">
      <c r="B13" s="138"/>
      <c r="C13" s="138"/>
    </row>
    <row r="14" spans="2:5" x14ac:dyDescent="0.4">
      <c r="B14" s="138"/>
      <c r="C14" s="138"/>
    </row>
    <row r="15" spans="2:5" x14ac:dyDescent="0.4">
      <c r="B15" s="138"/>
      <c r="C15" s="138"/>
    </row>
    <row r="16" spans="2:5" x14ac:dyDescent="0.4">
      <c r="B16" s="138"/>
      <c r="C16" s="138"/>
    </row>
    <row r="17" spans="2:7" x14ac:dyDescent="0.4">
      <c r="B17" s="138"/>
      <c r="C17" s="138"/>
    </row>
    <row r="18" spans="2:7" x14ac:dyDescent="0.4">
      <c r="B18" s="138"/>
      <c r="C18" s="138"/>
    </row>
    <row r="19" spans="2:7" x14ac:dyDescent="0.4">
      <c r="B19" s="138"/>
      <c r="C19" s="138"/>
    </row>
    <row r="20" spans="2:7" x14ac:dyDescent="0.4">
      <c r="B20" s="138"/>
      <c r="C20" s="138"/>
    </row>
    <row r="21" spans="2:7" x14ac:dyDescent="0.4">
      <c r="B21" s="138"/>
      <c r="C21" s="138"/>
    </row>
    <row r="22" spans="2:7" x14ac:dyDescent="0.4">
      <c r="B22" s="138"/>
      <c r="C22" s="138"/>
    </row>
    <row r="23" spans="2:7" x14ac:dyDescent="0.4">
      <c r="B23" s="138"/>
      <c r="C23" s="138"/>
    </row>
    <row r="24" spans="2:7" x14ac:dyDescent="0.4">
      <c r="B24" s="138"/>
      <c r="C24" s="138"/>
    </row>
    <row r="25" spans="2:7" x14ac:dyDescent="0.4">
      <c r="B25" s="138"/>
      <c r="C25" s="138"/>
    </row>
    <row r="26" spans="2:7" x14ac:dyDescent="0.4">
      <c r="B26" s="138"/>
      <c r="C26" s="138"/>
    </row>
    <row r="27" spans="2:7" x14ac:dyDescent="0.4">
      <c r="B27" s="138"/>
      <c r="C27" s="138"/>
    </row>
    <row r="28" spans="2:7" ht="14.5" customHeight="1" x14ac:dyDescent="0.4"/>
    <row r="29" spans="2:7" ht="40" x14ac:dyDescent="0.4">
      <c r="C29" s="331" t="s">
        <v>37</v>
      </c>
      <c r="D29" s="331" t="s">
        <v>38</v>
      </c>
      <c r="E29" s="331" t="s">
        <v>39</v>
      </c>
      <c r="F29" s="331" t="s">
        <v>52</v>
      </c>
    </row>
    <row r="30" spans="2:7" ht="40" x14ac:dyDescent="0.4">
      <c r="B30" s="260" t="s">
        <v>472</v>
      </c>
      <c r="C30" s="214">
        <f>('Input-Costos procedimientos'!C39*'Input-Costos procedimientos'!$F$8)+('Input-Costos procedimientos'!C77*'Input-Costos procedimientos'!$F$43)</f>
        <v>51967414.411239997</v>
      </c>
      <c r="D30" s="214">
        <f>('Input-Costos procedimientos'!D39*'Input-Costos procedimientos'!$F$8)+('Input-Costos procedimientos'!D77*'Input-Costos procedimientos'!$F$43)</f>
        <v>52435526.943000004</v>
      </c>
      <c r="E30" s="214">
        <f>('Input-Costos procedimientos'!E39*'Input-Costos procedimientos'!$F$8)+('Input-Costos procedimientos'!E77*'Input-Costos procedimientos'!$F$43)</f>
        <v>53329598.262639992</v>
      </c>
      <c r="F30" s="214">
        <f>AVERAGE(C30:E30)</f>
        <v>52577513.205626667</v>
      </c>
    </row>
    <row r="31" spans="2:7" x14ac:dyDescent="0.4"/>
    <row r="32" spans="2:7" ht="40" x14ac:dyDescent="0.4">
      <c r="C32" s="331" t="s">
        <v>37</v>
      </c>
      <c r="D32" s="331" t="s">
        <v>38</v>
      </c>
      <c r="E32" s="331" t="s">
        <v>39</v>
      </c>
      <c r="F32" s="331" t="s">
        <v>52</v>
      </c>
      <c r="G32" s="156"/>
    </row>
    <row r="33" spans="2:7" x14ac:dyDescent="0.4">
      <c r="B33" s="257" t="str">
        <f>'Input-Costo complicaciones'!B21</f>
        <v>Hospitalizaciones</v>
      </c>
      <c r="C33" s="325">
        <f>'Input-Costo complicaciones'!D21</f>
        <v>11226089</v>
      </c>
      <c r="D33" s="325">
        <f>'Input-Costo complicaciones'!E21</f>
        <v>12348697.9</v>
      </c>
      <c r="E33" s="325">
        <f>'Input-Costo complicaciones'!F21</f>
        <v>12910002.35</v>
      </c>
      <c r="F33" s="214">
        <f>AVERAGE(C33:E33)</f>
        <v>12161596.416666666</v>
      </c>
      <c r="G33" s="156"/>
    </row>
    <row r="34" spans="2:7" x14ac:dyDescent="0.4">
      <c r="B34" s="257" t="str">
        <f>'Input-Costo complicaciones'!B22</f>
        <v xml:space="preserve">Falla cardiaca en hospitalización general </v>
      </c>
      <c r="C34" s="325">
        <f>'Input-Costo complicaciones'!D22</f>
        <v>6427887</v>
      </c>
      <c r="D34" s="325">
        <f>'Input-Costo complicaciones'!E22</f>
        <v>7070675.7000000002</v>
      </c>
      <c r="E34" s="325">
        <f>'Input-Costo complicaciones'!F22</f>
        <v>7392070.0499999998</v>
      </c>
      <c r="F34" s="214">
        <f>AVERAGE(C34:E34)</f>
        <v>6963544.25</v>
      </c>
      <c r="G34" s="156"/>
    </row>
    <row r="35" spans="2:7" x14ac:dyDescent="0.4">
      <c r="B35" s="257" t="str">
        <f>'Input-Costo complicaciones'!B23</f>
        <v xml:space="preserve">Falla cardiaca derecha de paciente Crítico </v>
      </c>
      <c r="C35" s="325">
        <f>'Input-Costo complicaciones'!D23</f>
        <v>9854160.3664000016</v>
      </c>
      <c r="D35" s="325">
        <f>'Input-Costo complicaciones'!E23</f>
        <v>12003518.135200003</v>
      </c>
      <c r="E35" s="325">
        <f>'Input-Costo complicaciones'!F23</f>
        <v>279967476.5108</v>
      </c>
      <c r="F35" s="214">
        <f>AVERAGE(C35:E35)</f>
        <v>100608385.00413334</v>
      </c>
      <c r="G35" s="156"/>
    </row>
    <row r="36" spans="2:7" x14ac:dyDescent="0.4">
      <c r="B36" s="260" t="s">
        <v>473</v>
      </c>
      <c r="C36" s="214">
        <f>'Input-Costo complicaciones'!D24</f>
        <v>27508136.366400003</v>
      </c>
      <c r="D36" s="214">
        <f>'Input-Costo complicaciones'!E24</f>
        <v>31422891.735200003</v>
      </c>
      <c r="E36" s="214">
        <f>'Input-Costo complicaciones'!F24</f>
        <v>300269548.91079998</v>
      </c>
      <c r="F36" s="214">
        <f>AVERAGE(C36:E36)</f>
        <v>119733525.67079999</v>
      </c>
      <c r="G36" s="326"/>
    </row>
    <row r="37" spans="2:7" x14ac:dyDescent="0.4">
      <c r="B37" s="330" t="s">
        <v>471</v>
      </c>
      <c r="C37" s="336">
        <f>C36/$F$36</f>
        <v>0.22974464513833781</v>
      </c>
      <c r="D37" s="336">
        <f t="shared" ref="D37" si="1">D36/$F$36</f>
        <v>0.26244021095307363</v>
      </c>
      <c r="E37" s="336">
        <f>E36/$F$36</f>
        <v>2.507815143908589</v>
      </c>
      <c r="F37" s="97"/>
      <c r="G37" s="326"/>
    </row>
    <row r="38" spans="2:7" ht="40" x14ac:dyDescent="0.4">
      <c r="B38" s="335" t="s">
        <v>474</v>
      </c>
      <c r="C38" s="97"/>
      <c r="D38" s="97"/>
      <c r="E38" s="336">
        <f>E35/F87</f>
        <v>0.69897540173952932</v>
      </c>
      <c r="F38" s="97"/>
      <c r="G38" s="326"/>
    </row>
    <row r="39" spans="2:7" x14ac:dyDescent="0.4">
      <c r="B39" s="140"/>
      <c r="C39" s="97"/>
      <c r="D39" s="97"/>
      <c r="E39" s="97"/>
      <c r="F39" s="97"/>
      <c r="G39" s="326"/>
    </row>
    <row r="40" spans="2:7" x14ac:dyDescent="0.4">
      <c r="B40" s="140"/>
      <c r="C40" s="97"/>
      <c r="D40" s="97"/>
      <c r="E40" s="97"/>
      <c r="F40" s="97"/>
      <c r="G40" s="326"/>
    </row>
    <row r="41" spans="2:7" x14ac:dyDescent="0.4">
      <c r="B41" s="140"/>
      <c r="C41" s="97"/>
      <c r="D41" s="97"/>
      <c r="E41" s="97"/>
      <c r="F41" s="97"/>
      <c r="G41" s="326"/>
    </row>
    <row r="42" spans="2:7" x14ac:dyDescent="0.4">
      <c r="B42" s="140"/>
      <c r="C42" s="97"/>
      <c r="D42" s="97"/>
      <c r="E42" s="97"/>
      <c r="F42" s="97"/>
      <c r="G42" s="326"/>
    </row>
    <row r="43" spans="2:7" x14ac:dyDescent="0.4">
      <c r="B43" s="140"/>
      <c r="C43" s="97"/>
      <c r="D43" s="97"/>
      <c r="E43" s="97"/>
      <c r="F43" s="97"/>
      <c r="G43" s="326"/>
    </row>
    <row r="44" spans="2:7" x14ac:dyDescent="0.4">
      <c r="B44" s="140"/>
      <c r="C44" s="97"/>
      <c r="D44" s="97"/>
      <c r="E44" s="97"/>
      <c r="F44" s="97"/>
      <c r="G44" s="326"/>
    </row>
    <row r="45" spans="2:7" x14ac:dyDescent="0.4">
      <c r="B45" s="140"/>
      <c r="C45" s="97"/>
      <c r="D45" s="97"/>
      <c r="E45" s="97"/>
      <c r="F45" s="97"/>
      <c r="G45" s="326"/>
    </row>
    <row r="46" spans="2:7" x14ac:dyDescent="0.4">
      <c r="B46" s="140"/>
      <c r="C46" s="97"/>
      <c r="D46" s="97"/>
      <c r="E46" s="97"/>
      <c r="F46" s="97"/>
      <c r="G46" s="326"/>
    </row>
    <row r="47" spans="2:7" x14ac:dyDescent="0.4">
      <c r="B47" s="140"/>
      <c r="C47" s="97"/>
      <c r="D47" s="97"/>
      <c r="E47" s="97"/>
      <c r="F47" s="97"/>
      <c r="G47" s="326"/>
    </row>
    <row r="48" spans="2:7" x14ac:dyDescent="0.4">
      <c r="B48" s="140"/>
      <c r="C48" s="97"/>
      <c r="D48" s="97"/>
      <c r="E48" s="97"/>
      <c r="F48" s="97"/>
      <c r="G48" s="326"/>
    </row>
    <row r="49" spans="2:7" x14ac:dyDescent="0.4">
      <c r="B49" s="140"/>
      <c r="C49" s="97"/>
      <c r="D49" s="97"/>
      <c r="E49" s="97"/>
      <c r="F49" s="97"/>
      <c r="G49" s="326"/>
    </row>
    <row r="50" spans="2:7" x14ac:dyDescent="0.4">
      <c r="B50" s="140"/>
      <c r="C50" s="97"/>
      <c r="D50" s="97"/>
      <c r="E50" s="97"/>
      <c r="F50" s="97"/>
      <c r="G50" s="326"/>
    </row>
    <row r="51" spans="2:7" x14ac:dyDescent="0.4">
      <c r="B51" s="140"/>
      <c r="C51" s="97"/>
      <c r="D51" s="97"/>
      <c r="E51" s="97"/>
      <c r="F51" s="97"/>
      <c r="G51" s="326"/>
    </row>
    <row r="52" spans="2:7" x14ac:dyDescent="0.4">
      <c r="B52" s="140"/>
      <c r="C52" s="97"/>
      <c r="D52" s="97"/>
      <c r="E52" s="97"/>
      <c r="F52" s="97"/>
      <c r="G52" s="326"/>
    </row>
    <row r="53" spans="2:7" x14ac:dyDescent="0.4">
      <c r="B53" s="140"/>
      <c r="C53" s="97"/>
      <c r="D53" s="97"/>
      <c r="E53" s="97"/>
      <c r="F53" s="97"/>
      <c r="G53" s="326"/>
    </row>
    <row r="54" spans="2:7" x14ac:dyDescent="0.4">
      <c r="B54" s="140"/>
      <c r="C54" s="97"/>
      <c r="D54" s="97"/>
      <c r="E54" s="97"/>
      <c r="F54" s="97"/>
      <c r="G54" s="326"/>
    </row>
    <row r="55" spans="2:7" x14ac:dyDescent="0.4">
      <c r="B55" s="140"/>
      <c r="C55" s="97"/>
      <c r="D55" s="97"/>
      <c r="E55" s="97"/>
      <c r="F55" s="97"/>
      <c r="G55" s="326"/>
    </row>
    <row r="56" spans="2:7" x14ac:dyDescent="0.4">
      <c r="B56" s="140"/>
      <c r="C56" s="97"/>
      <c r="D56" s="97"/>
      <c r="E56" s="97"/>
      <c r="F56" s="97"/>
      <c r="G56" s="326"/>
    </row>
    <row r="57" spans="2:7" x14ac:dyDescent="0.4">
      <c r="B57" s="140"/>
      <c r="C57" s="97"/>
      <c r="D57" s="97"/>
      <c r="E57" s="97"/>
      <c r="F57" s="97"/>
      <c r="G57" s="326"/>
    </row>
    <row r="58" spans="2:7" x14ac:dyDescent="0.4"/>
    <row r="59" spans="2:7" ht="40" x14ac:dyDescent="0.4">
      <c r="C59" s="331" t="s">
        <v>37</v>
      </c>
      <c r="D59" s="331" t="s">
        <v>38</v>
      </c>
      <c r="E59" s="331" t="s">
        <v>39</v>
      </c>
      <c r="F59" s="331" t="s">
        <v>52</v>
      </c>
    </row>
    <row r="60" spans="2:7" ht="40" x14ac:dyDescent="0.4">
      <c r="B60" s="260" t="s">
        <v>475</v>
      </c>
      <c r="C60" s="212">
        <f>'Input-Costos tecnologías'!X38</f>
        <v>128845172.3</v>
      </c>
      <c r="D60" s="212">
        <f>'Input-Costos tecnologías'!Y38</f>
        <v>136927664.25</v>
      </c>
      <c r="E60" s="212">
        <f>'Input-Costos tecnologías'!Z38</f>
        <v>418913484.99000001</v>
      </c>
      <c r="F60" s="212">
        <f>AVERAGE(C60:E60)</f>
        <v>228228773.84666666</v>
      </c>
    </row>
    <row r="61" spans="2:7" x14ac:dyDescent="0.4"/>
    <row r="62" spans="2:7" x14ac:dyDescent="0.4"/>
    <row r="63" spans="2:7" x14ac:dyDescent="0.4"/>
    <row r="64" spans="2:7" x14ac:dyDescent="0.4"/>
    <row r="65" x14ac:dyDescent="0.4"/>
    <row r="66" x14ac:dyDescent="0.4"/>
    <row r="67" x14ac:dyDescent="0.4"/>
    <row r="68" x14ac:dyDescent="0.4"/>
    <row r="69" x14ac:dyDescent="0.4"/>
    <row r="70" x14ac:dyDescent="0.4"/>
    <row r="71" x14ac:dyDescent="0.4"/>
    <row r="72" x14ac:dyDescent="0.4"/>
    <row r="73" x14ac:dyDescent="0.4"/>
    <row r="74" x14ac:dyDescent="0.4"/>
    <row r="75" x14ac:dyDescent="0.4"/>
    <row r="76" x14ac:dyDescent="0.4"/>
    <row r="77" x14ac:dyDescent="0.4"/>
    <row r="78" x14ac:dyDescent="0.4"/>
    <row r="79" x14ac:dyDescent="0.4"/>
    <row r="80" x14ac:dyDescent="0.4"/>
    <row r="81" spans="2:7" x14ac:dyDescent="0.4"/>
    <row r="82" spans="2:7" x14ac:dyDescent="0.4"/>
    <row r="83" spans="2:7" x14ac:dyDescent="0.4"/>
    <row r="84" spans="2:7" x14ac:dyDescent="0.4"/>
    <row r="85" spans="2:7" x14ac:dyDescent="0.4"/>
    <row r="86" spans="2:7" ht="40" x14ac:dyDescent="0.4">
      <c r="C86" s="331" t="s">
        <v>37</v>
      </c>
      <c r="D86" s="331" t="s">
        <v>38</v>
      </c>
      <c r="E86" s="331" t="s">
        <v>39</v>
      </c>
      <c r="F86" s="331" t="s">
        <v>52</v>
      </c>
    </row>
    <row r="87" spans="2:7" x14ac:dyDescent="0.4">
      <c r="B87" s="320" t="s">
        <v>476</v>
      </c>
      <c r="C87" s="214">
        <f>SUM(C30,C36,C60)</f>
        <v>208320723.07764</v>
      </c>
      <c r="D87" s="214">
        <f>SUM(D30,D36,D60)</f>
        <v>220786082.92820001</v>
      </c>
      <c r="E87" s="214">
        <f>SUM(E30,E36,E60)</f>
        <v>772512632.16343999</v>
      </c>
      <c r="F87" s="214">
        <f>AVERAGE(C87:E87)</f>
        <v>400539812.72309333</v>
      </c>
    </row>
    <row r="88" spans="2:7" x14ac:dyDescent="0.4">
      <c r="B88" s="330" t="s">
        <v>471</v>
      </c>
      <c r="C88" s="336">
        <f>C87/$F$87</f>
        <v>0.52009991631383501</v>
      </c>
      <c r="D88" s="336">
        <f t="shared" ref="D88:E88" si="2">D87/$F$87</f>
        <v>0.55122131662061979</v>
      </c>
      <c r="E88" s="336">
        <f t="shared" si="2"/>
        <v>1.9286787670655452</v>
      </c>
      <c r="F88" s="336">
        <f>F60/F87</f>
        <v>0.56980296738803571</v>
      </c>
      <c r="G88" s="339" t="s">
        <v>477</v>
      </c>
    </row>
    <row r="89" spans="2:7" x14ac:dyDescent="0.4">
      <c r="C89" s="337">
        <f>E87/C87</f>
        <v>3.7082850940159648</v>
      </c>
      <c r="D89" s="337">
        <f>E87/D87</f>
        <v>3.4989190528583376</v>
      </c>
      <c r="E89" s="338">
        <f>E87/F87</f>
        <v>1.9286787670655452</v>
      </c>
      <c r="F89" s="336">
        <f>F30/F87</f>
        <v>0.13126663451549389</v>
      </c>
      <c r="G89" s="339" t="s">
        <v>478</v>
      </c>
    </row>
    <row r="90" spans="2:7" x14ac:dyDescent="0.4">
      <c r="F90" s="336">
        <f>F36/F87</f>
        <v>0.29893039809647037</v>
      </c>
      <c r="G90" s="339" t="s">
        <v>479</v>
      </c>
    </row>
    <row r="91" spans="2:7" x14ac:dyDescent="0.4">
      <c r="F91" s="326"/>
      <c r="G91" s="327"/>
    </row>
    <row r="92" spans="2:7" x14ac:dyDescent="0.4">
      <c r="F92" s="326"/>
      <c r="G92" s="327"/>
    </row>
    <row r="93" spans="2:7" x14ac:dyDescent="0.4">
      <c r="F93" s="326"/>
      <c r="G93" s="327"/>
    </row>
    <row r="94" spans="2:7" x14ac:dyDescent="0.4">
      <c r="F94" s="326"/>
      <c r="G94" s="327"/>
    </row>
    <row r="95" spans="2:7" x14ac:dyDescent="0.4">
      <c r="F95" s="326"/>
      <c r="G95" s="327"/>
    </row>
    <row r="96" spans="2:7" x14ac:dyDescent="0.4">
      <c r="F96" s="326"/>
      <c r="G96" s="327"/>
    </row>
    <row r="97" spans="2:7" x14ac:dyDescent="0.4">
      <c r="F97" s="326"/>
      <c r="G97" s="327"/>
    </row>
    <row r="98" spans="2:7" x14ac:dyDescent="0.4">
      <c r="F98" s="326"/>
      <c r="G98" s="327"/>
    </row>
    <row r="99" spans="2:7" x14ac:dyDescent="0.4">
      <c r="F99" s="326"/>
      <c r="G99" s="327"/>
    </row>
    <row r="100" spans="2:7" x14ac:dyDescent="0.4">
      <c r="F100" s="326"/>
      <c r="G100" s="327"/>
    </row>
    <row r="101" spans="2:7" x14ac:dyDescent="0.4">
      <c r="F101" s="326"/>
      <c r="G101" s="327"/>
    </row>
    <row r="102" spans="2:7" x14ac:dyDescent="0.4">
      <c r="F102" s="326"/>
      <c r="G102" s="327"/>
    </row>
    <row r="103" spans="2:7" x14ac:dyDescent="0.4">
      <c r="F103" s="326"/>
      <c r="G103" s="327"/>
    </row>
    <row r="104" spans="2:7" x14ac:dyDescent="0.4">
      <c r="F104" s="326"/>
      <c r="G104" s="327"/>
    </row>
    <row r="105" spans="2:7" x14ac:dyDescent="0.4">
      <c r="F105" s="326"/>
      <c r="G105" s="327"/>
    </row>
    <row r="106" spans="2:7" x14ac:dyDescent="0.4">
      <c r="F106" s="326"/>
      <c r="G106" s="327"/>
    </row>
    <row r="107" spans="2:7" x14ac:dyDescent="0.4">
      <c r="F107" s="326"/>
      <c r="G107" s="327"/>
    </row>
    <row r="108" spans="2:7" x14ac:dyDescent="0.4">
      <c r="F108" s="326"/>
      <c r="G108" s="327"/>
    </row>
    <row r="109" spans="2:7" x14ac:dyDescent="0.4">
      <c r="B109" s="406" t="s">
        <v>480</v>
      </c>
      <c r="C109" s="406"/>
      <c r="D109" s="406"/>
      <c r="E109" s="406"/>
      <c r="F109" s="406"/>
      <c r="G109" s="406"/>
    </row>
    <row r="110" spans="2:7" x14ac:dyDescent="0.4">
      <c r="F110" s="326"/>
      <c r="G110" s="327"/>
    </row>
    <row r="111" spans="2:7" x14ac:dyDescent="0.4"/>
    <row r="112" spans="2:7" ht="40" x14ac:dyDescent="0.4">
      <c r="D112" s="331" t="s">
        <v>37</v>
      </c>
      <c r="E112" s="331" t="s">
        <v>38</v>
      </c>
      <c r="F112" s="331" t="s">
        <v>39</v>
      </c>
      <c r="G112" s="331" t="s">
        <v>52</v>
      </c>
    </row>
    <row r="113" spans="2:7" ht="60" x14ac:dyDescent="0.4">
      <c r="B113" s="139" t="s">
        <v>481</v>
      </c>
      <c r="C113" s="260" t="s">
        <v>48</v>
      </c>
      <c r="D113" s="328">
        <f>ROUNDUP(C10*'Input-Costo complicaciones'!C10,0)</f>
        <v>1</v>
      </c>
      <c r="E113" s="328">
        <f>ROUNDUP(D10*'Input-Costo complicaciones'!D10,0)</f>
        <v>14</v>
      </c>
      <c r="F113" s="328">
        <f>ROUNDUP(E10*'Input-Costo complicaciones'!E10,0)</f>
        <v>4</v>
      </c>
      <c r="G113" s="328">
        <f>SUM(D113:F113)</f>
        <v>19</v>
      </c>
    </row>
    <row r="114" spans="2:7" ht="40" x14ac:dyDescent="0.4">
      <c r="C114" s="260" t="s">
        <v>49</v>
      </c>
      <c r="D114" s="328">
        <f>ROUNDUP(C10*'Input-Costo complicaciones'!C11,0)</f>
        <v>1</v>
      </c>
      <c r="E114" s="328">
        <f>ROUNDUP(D10*'Input-Costo complicaciones'!D11,0)</f>
        <v>4</v>
      </c>
      <c r="F114" s="328">
        <f>ROUNDUP(E10*'Input-Costo complicaciones'!E11,0)</f>
        <v>1</v>
      </c>
      <c r="G114" s="328">
        <f t="shared" ref="G114:G115" si="3">SUM(D114:F114)</f>
        <v>6</v>
      </c>
    </row>
    <row r="115" spans="2:7" ht="40" x14ac:dyDescent="0.4">
      <c r="C115" s="260" t="s">
        <v>50</v>
      </c>
      <c r="D115" s="328">
        <f>ROUNDUP(C10*'Input-Costo complicaciones'!C12,0)</f>
        <v>1</v>
      </c>
      <c r="E115" s="328">
        <f>ROUNDUP(D10*'Input-Costo complicaciones'!D12,0)</f>
        <v>2</v>
      </c>
      <c r="F115" s="328">
        <f>ROUNDUP(E10*'Input-Costo complicaciones'!E12,0)</f>
        <v>1</v>
      </c>
      <c r="G115" s="328">
        <f t="shared" si="3"/>
        <v>4</v>
      </c>
    </row>
    <row r="116" spans="2:7" x14ac:dyDescent="0.4"/>
    <row r="117" spans="2:7" ht="40" x14ac:dyDescent="0.4">
      <c r="D117" s="331" t="s">
        <v>37</v>
      </c>
      <c r="E117" s="331" t="s">
        <v>38</v>
      </c>
      <c r="F117" s="331" t="s">
        <v>39</v>
      </c>
      <c r="G117" s="331" t="s">
        <v>52</v>
      </c>
    </row>
    <row r="118" spans="2:7" ht="60" x14ac:dyDescent="0.4">
      <c r="B118" s="139" t="s">
        <v>482</v>
      </c>
      <c r="C118" s="260" t="s">
        <v>48</v>
      </c>
      <c r="D118" s="329">
        <f t="shared" ref="D118:F120" si="4">D113*C33</f>
        <v>11226089</v>
      </c>
      <c r="E118" s="329">
        <f t="shared" si="4"/>
        <v>172881770.59999999</v>
      </c>
      <c r="F118" s="329">
        <f t="shared" si="4"/>
        <v>51640009.399999999</v>
      </c>
      <c r="G118" s="214">
        <f>SUM(D118:F118)</f>
        <v>235747869</v>
      </c>
    </row>
    <row r="119" spans="2:7" ht="40" x14ac:dyDescent="0.4">
      <c r="C119" s="260" t="s">
        <v>49</v>
      </c>
      <c r="D119" s="329">
        <f t="shared" si="4"/>
        <v>6427887</v>
      </c>
      <c r="E119" s="329">
        <f t="shared" si="4"/>
        <v>28282702.800000001</v>
      </c>
      <c r="F119" s="329">
        <f t="shared" si="4"/>
        <v>7392070.0499999998</v>
      </c>
      <c r="G119" s="214">
        <f t="shared" ref="G119:G120" si="5">SUM(D119:F119)</f>
        <v>42102659.849999994</v>
      </c>
    </row>
    <row r="120" spans="2:7" ht="40" x14ac:dyDescent="0.4">
      <c r="C120" s="260" t="s">
        <v>50</v>
      </c>
      <c r="D120" s="329">
        <f t="shared" si="4"/>
        <v>9854160.3664000016</v>
      </c>
      <c r="E120" s="329">
        <f t="shared" si="4"/>
        <v>24007036.270400006</v>
      </c>
      <c r="F120" s="329">
        <f t="shared" si="4"/>
        <v>279967476.5108</v>
      </c>
      <c r="G120" s="214">
        <f t="shared" si="5"/>
        <v>313828673.1476</v>
      </c>
    </row>
    <row r="121" spans="2:7" x14ac:dyDescent="0.4">
      <c r="C121" s="260" t="s">
        <v>52</v>
      </c>
      <c r="D121" s="214">
        <f>SUM(D118:D120)</f>
        <v>27508136.366400003</v>
      </c>
      <c r="E121" s="214">
        <f t="shared" ref="E121:F121" si="6">SUM(E118:E120)</f>
        <v>225171509.67040002</v>
      </c>
      <c r="F121" s="214">
        <f t="shared" si="6"/>
        <v>338999555.96079999</v>
      </c>
      <c r="G121" s="214">
        <f>SUM(G118:G120)</f>
        <v>591679201.99760008</v>
      </c>
    </row>
    <row r="122" spans="2:7" x14ac:dyDescent="0.4">
      <c r="C122" s="140"/>
      <c r="D122" s="97"/>
      <c r="E122" s="97"/>
      <c r="F122" s="97"/>
      <c r="G122" s="97"/>
    </row>
    <row r="123" spans="2:7" x14ac:dyDescent="0.4"/>
    <row r="124" spans="2:7" ht="40" x14ac:dyDescent="0.4">
      <c r="C124" s="331" t="s">
        <v>37</v>
      </c>
      <c r="D124" s="331" t="s">
        <v>38</v>
      </c>
      <c r="E124" s="331" t="s">
        <v>39</v>
      </c>
      <c r="F124" s="331" t="s">
        <v>52</v>
      </c>
    </row>
    <row r="125" spans="2:7" x14ac:dyDescent="0.4">
      <c r="B125" s="320" t="s">
        <v>483</v>
      </c>
      <c r="C125" s="214">
        <f>(C10*C30)+(C10*C60)+D121</f>
        <v>6355948671.2598</v>
      </c>
      <c r="D125" s="214">
        <f>(D10*D30)+(D10*D60)+E121</f>
        <v>10640147025.2854</v>
      </c>
      <c r="E125" s="214">
        <f>(E10*E30)+(E10*E60)+F121</f>
        <v>5061430388.4871998</v>
      </c>
      <c r="F125" s="214">
        <f>SUM(C125:E125)</f>
        <v>22057526085.032402</v>
      </c>
      <c r="G125" s="240"/>
    </row>
    <row r="126" spans="2:7" x14ac:dyDescent="0.4">
      <c r="B126" s="330" t="s">
        <v>471</v>
      </c>
      <c r="C126" s="336">
        <f>C125/$F$125</f>
        <v>0.2881532882136208</v>
      </c>
      <c r="D126" s="336">
        <f>D125/$F$125</f>
        <v>0.48238170428847393</v>
      </c>
      <c r="E126" s="336">
        <f>E125/$F$125</f>
        <v>0.22946500749790522</v>
      </c>
    </row>
    <row r="127" spans="2:7" x14ac:dyDescent="0.4"/>
    <row r="128" spans="2:7" hidden="1" x14ac:dyDescent="0.4">
      <c r="F128" s="326"/>
      <c r="G128" s="327"/>
    </row>
    <row r="129" spans="6:7" hidden="1" x14ac:dyDescent="0.4">
      <c r="F129" s="326"/>
      <c r="G129" s="327"/>
    </row>
    <row r="130" spans="6:7" hidden="1" x14ac:dyDescent="0.4">
      <c r="F130" s="326"/>
      <c r="G130" s="327"/>
    </row>
  </sheetData>
  <mergeCells count="1">
    <mergeCell ref="B109:G109"/>
  </mergeCells>
  <pageMargins left="0.7" right="0.7" top="0.75" bottom="0.75" header="0.3" footer="0.3"/>
  <headerFooter>
    <oddFooter>&amp;R_x000D_&amp;1#&amp;"Calibri"&amp;22&amp;KFF8939 RESTRICTED</oddFooter>
  </headerFooter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97CAE2-3906-48D8-9615-4FEFF790EDCE}">
  <sheetPr>
    <tabColor theme="7" tint="0.79998168889431442"/>
  </sheetPr>
  <dimension ref="A1"/>
  <sheetViews>
    <sheetView zoomScale="27" zoomScaleNormal="90" workbookViewId="0">
      <selection activeCell="G25" sqref="G25"/>
    </sheetView>
  </sheetViews>
  <sheetFormatPr baseColWidth="10" defaultColWidth="11" defaultRowHeight="14" x14ac:dyDescent="0.3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C19898-AB5A-4562-9117-D629F26E917B}">
  <sheetPr>
    <tabColor theme="9"/>
  </sheetPr>
  <dimension ref="A1"/>
  <sheetViews>
    <sheetView workbookViewId="0">
      <selection activeCell="M20" sqref="M20"/>
    </sheetView>
  </sheetViews>
  <sheetFormatPr baseColWidth="10" defaultColWidth="11" defaultRowHeight="14" x14ac:dyDescent="0.3"/>
  <sheetData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8BF68D-3307-4BE1-9577-F5883D23F44D}">
  <dimension ref="B2:E18"/>
  <sheetViews>
    <sheetView workbookViewId="0">
      <selection activeCell="B14" sqref="B14"/>
    </sheetView>
  </sheetViews>
  <sheetFormatPr baseColWidth="10" defaultColWidth="11" defaultRowHeight="14" x14ac:dyDescent="0.3"/>
  <cols>
    <col min="2" max="2" width="33" bestFit="1" customWidth="1"/>
    <col min="3" max="3" width="14.33203125" bestFit="1" customWidth="1"/>
    <col min="4" max="4" width="25.33203125" bestFit="1" customWidth="1"/>
    <col min="5" max="5" width="24.6640625" bestFit="1" customWidth="1"/>
  </cols>
  <sheetData>
    <row r="2" spans="2:5" x14ac:dyDescent="0.3">
      <c r="B2" t="s">
        <v>484</v>
      </c>
    </row>
    <row r="3" spans="2:5" x14ac:dyDescent="0.3">
      <c r="B3" t="s">
        <v>54</v>
      </c>
      <c r="D3" t="s">
        <v>449</v>
      </c>
      <c r="E3" t="s">
        <v>450</v>
      </c>
    </row>
    <row r="4" spans="2:5" x14ac:dyDescent="0.3">
      <c r="B4" t="s">
        <v>485</v>
      </c>
      <c r="D4" s="3">
        <v>61</v>
      </c>
      <c r="E4" s="3">
        <v>732.2</v>
      </c>
    </row>
    <row r="5" spans="2:5" x14ac:dyDescent="0.3">
      <c r="B5" t="s">
        <v>486</v>
      </c>
      <c r="C5" t="s">
        <v>487</v>
      </c>
      <c r="D5" s="3">
        <v>91.5</v>
      </c>
      <c r="E5" s="3">
        <v>1098.3</v>
      </c>
    </row>
    <row r="6" spans="2:5" x14ac:dyDescent="0.3">
      <c r="C6" t="s">
        <v>488</v>
      </c>
      <c r="D6" s="3">
        <v>11.9</v>
      </c>
      <c r="E6" s="3">
        <v>142.80000000000001</v>
      </c>
    </row>
    <row r="7" spans="2:5" x14ac:dyDescent="0.3">
      <c r="C7" t="s">
        <v>489</v>
      </c>
      <c r="D7" s="3">
        <v>70.2</v>
      </c>
      <c r="E7" s="3">
        <v>842.8</v>
      </c>
    </row>
    <row r="8" spans="2:5" x14ac:dyDescent="0.3">
      <c r="B8" t="s">
        <v>490</v>
      </c>
      <c r="D8" s="3">
        <v>64.900000000000006</v>
      </c>
      <c r="E8" s="3">
        <v>779.2</v>
      </c>
    </row>
    <row r="9" spans="2:5" x14ac:dyDescent="0.3">
      <c r="B9" t="s">
        <v>491</v>
      </c>
      <c r="D9" t="s">
        <v>492</v>
      </c>
      <c r="E9" t="s">
        <v>493</v>
      </c>
    </row>
    <row r="10" spans="2:5" x14ac:dyDescent="0.3">
      <c r="C10" t="s">
        <v>494</v>
      </c>
      <c r="D10" s="3">
        <v>44.5</v>
      </c>
      <c r="E10" s="3">
        <v>533.79999999999995</v>
      </c>
    </row>
    <row r="11" spans="2:5" x14ac:dyDescent="0.3">
      <c r="B11" t="s">
        <v>495</v>
      </c>
      <c r="D11" s="3">
        <v>16.100000000000001</v>
      </c>
      <c r="E11" s="3">
        <v>192.7</v>
      </c>
    </row>
    <row r="12" spans="2:5" x14ac:dyDescent="0.3">
      <c r="B12" t="s">
        <v>52</v>
      </c>
      <c r="D12" s="4">
        <v>360</v>
      </c>
      <c r="E12" s="4">
        <v>4322</v>
      </c>
    </row>
    <row r="14" spans="2:5" x14ac:dyDescent="0.3">
      <c r="B14" t="s">
        <v>496</v>
      </c>
    </row>
    <row r="15" spans="2:5" x14ac:dyDescent="0.3">
      <c r="B15" t="s">
        <v>54</v>
      </c>
      <c r="D15" t="s">
        <v>449</v>
      </c>
      <c r="E15" t="s">
        <v>450</v>
      </c>
    </row>
    <row r="16" spans="2:5" x14ac:dyDescent="0.3">
      <c r="B16" t="s">
        <v>485</v>
      </c>
      <c r="D16" s="3">
        <v>61</v>
      </c>
      <c r="E16" s="3">
        <v>732.2</v>
      </c>
    </row>
    <row r="17" spans="2:5" x14ac:dyDescent="0.3">
      <c r="B17" t="s">
        <v>495</v>
      </c>
      <c r="D17" s="3">
        <v>16.100000000000001</v>
      </c>
      <c r="E17" s="3">
        <v>192.7</v>
      </c>
    </row>
    <row r="18" spans="2:5" x14ac:dyDescent="0.3">
      <c r="B18" t="s">
        <v>52</v>
      </c>
      <c r="D18" s="4">
        <v>77</v>
      </c>
      <c r="E18" s="4">
        <v>925</v>
      </c>
    </row>
  </sheetData>
  <pageMargins left="0.7" right="0.7" top="0.75" bottom="0.75" header="0.3" footer="0.3"/>
  <pageSetup paperSize="9" orientation="portrait" horizontalDpi="360" verticalDpi="360" r:id="rId1"/>
  <headerFooter>
    <oddFooter>&amp;R_x000D_&amp;1#&amp;"Calibri"&amp;22&amp;KFF8939 RESTRICTED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5DFABD-6BD2-497F-B954-D65BC76AA479}">
  <sheetPr>
    <tabColor theme="5"/>
  </sheetPr>
  <dimension ref="A1:AH74"/>
  <sheetViews>
    <sheetView showGridLines="0" topLeftCell="B1" zoomScale="38" zoomScaleNormal="64" workbookViewId="0">
      <selection activeCell="B6" sqref="B6"/>
    </sheetView>
  </sheetViews>
  <sheetFormatPr baseColWidth="10" defaultColWidth="0" defaultRowHeight="14" zeroHeight="1" x14ac:dyDescent="0.3"/>
  <cols>
    <col min="1" max="1" width="10.5" hidden="1" customWidth="1"/>
    <col min="2" max="2" width="4.33203125" customWidth="1"/>
    <col min="3" max="3" width="42.6640625" customWidth="1"/>
    <col min="4" max="34" width="11" customWidth="1"/>
    <col min="35" max="16384" width="11" hidden="1"/>
  </cols>
  <sheetData>
    <row r="1" spans="3:7" x14ac:dyDescent="0.3"/>
    <row r="2" spans="3:7" x14ac:dyDescent="0.3"/>
    <row r="3" spans="3:7" x14ac:dyDescent="0.3"/>
    <row r="4" spans="3:7" x14ac:dyDescent="0.3"/>
    <row r="5" spans="3:7" x14ac:dyDescent="0.3"/>
    <row r="6" spans="3:7" x14ac:dyDescent="0.3"/>
    <row r="7" spans="3:7" ht="25" x14ac:dyDescent="0.5">
      <c r="F7" s="144" t="s">
        <v>15</v>
      </c>
      <c r="G7" s="409"/>
    </row>
    <row r="8" spans="3:7" ht="5" customHeight="1" x14ac:dyDescent="0.5">
      <c r="F8" s="144"/>
      <c r="G8" s="407"/>
    </row>
    <row r="9" spans="3:7" ht="25" x14ac:dyDescent="0.5">
      <c r="F9" s="144" t="s">
        <v>16</v>
      </c>
      <c r="G9" s="408"/>
    </row>
    <row r="10" spans="3:7" ht="5" customHeight="1" x14ac:dyDescent="0.5">
      <c r="F10" s="144"/>
      <c r="G10" s="407"/>
    </row>
    <row r="11" spans="3:7" ht="25" x14ac:dyDescent="0.5">
      <c r="F11" s="144" t="s">
        <v>520</v>
      </c>
      <c r="G11" s="15"/>
    </row>
    <row r="12" spans="3:7" x14ac:dyDescent="0.3"/>
    <row r="13" spans="3:7" ht="18" x14ac:dyDescent="0.4">
      <c r="C13" s="13"/>
    </row>
    <row r="14" spans="3:7" ht="20" customHeight="1" x14ac:dyDescent="0.3"/>
    <row r="15" spans="3:7" ht="25" x14ac:dyDescent="0.5">
      <c r="C15" s="12" t="s">
        <v>500</v>
      </c>
    </row>
    <row r="16" spans="3:7" ht="25" x14ac:dyDescent="0.5">
      <c r="C16" s="12" t="s">
        <v>501</v>
      </c>
    </row>
    <row r="17" spans="3:3" ht="25" x14ac:dyDescent="0.5">
      <c r="C17" s="12" t="s">
        <v>502</v>
      </c>
    </row>
    <row r="18" spans="3:3" ht="25" x14ac:dyDescent="0.5">
      <c r="C18" s="12" t="s">
        <v>503</v>
      </c>
    </row>
    <row r="19" spans="3:3" ht="25" x14ac:dyDescent="0.5">
      <c r="C19" s="12" t="s">
        <v>504</v>
      </c>
    </row>
    <row r="20" spans="3:3" x14ac:dyDescent="0.3"/>
    <row r="21" spans="3:3" ht="18" x14ac:dyDescent="0.4">
      <c r="C21" s="13"/>
    </row>
    <row r="22" spans="3:3" x14ac:dyDescent="0.3"/>
    <row r="23" spans="3:3" x14ac:dyDescent="0.3"/>
    <row r="24" spans="3:3" x14ac:dyDescent="0.3"/>
    <row r="25" spans="3:3" x14ac:dyDescent="0.3"/>
    <row r="26" spans="3:3" x14ac:dyDescent="0.3"/>
    <row r="27" spans="3:3" x14ac:dyDescent="0.3"/>
    <row r="28" spans="3:3" x14ac:dyDescent="0.3"/>
    <row r="29" spans="3:3" x14ac:dyDescent="0.3"/>
    <row r="30" spans="3:3" x14ac:dyDescent="0.3"/>
    <row r="31" spans="3:3" x14ac:dyDescent="0.3"/>
    <row r="32" spans="3:3" x14ac:dyDescent="0.3"/>
    <row r="33" x14ac:dyDescent="0.3"/>
    <row r="34" x14ac:dyDescent="0.3"/>
    <row r="35" x14ac:dyDescent="0.3"/>
    <row r="36" x14ac:dyDescent="0.3"/>
    <row r="37" x14ac:dyDescent="0.3"/>
    <row r="38" x14ac:dyDescent="0.3"/>
    <row r="39" x14ac:dyDescent="0.3"/>
    <row r="40" x14ac:dyDescent="0.3"/>
    <row r="41" x14ac:dyDescent="0.3"/>
    <row r="42" x14ac:dyDescent="0.3"/>
    <row r="43" x14ac:dyDescent="0.3"/>
    <row r="44" x14ac:dyDescent="0.3"/>
    <row r="45" x14ac:dyDescent="0.3"/>
    <row r="46" x14ac:dyDescent="0.3"/>
    <row r="47" x14ac:dyDescent="0.3"/>
    <row r="48" x14ac:dyDescent="0.3"/>
    <row r="49" x14ac:dyDescent="0.3"/>
    <row r="50" x14ac:dyDescent="0.3"/>
    <row r="51" x14ac:dyDescent="0.3"/>
    <row r="52" x14ac:dyDescent="0.3"/>
    <row r="53" x14ac:dyDescent="0.3"/>
    <row r="54" x14ac:dyDescent="0.3"/>
    <row r="55" x14ac:dyDescent="0.3"/>
    <row r="56" x14ac:dyDescent="0.3"/>
    <row r="57" x14ac:dyDescent="0.3"/>
    <row r="58" x14ac:dyDescent="0.3"/>
    <row r="59" x14ac:dyDescent="0.3"/>
    <row r="60" x14ac:dyDescent="0.3"/>
    <row r="61" x14ac:dyDescent="0.3"/>
    <row r="62" x14ac:dyDescent="0.3"/>
    <row r="63" x14ac:dyDescent="0.3"/>
    <row r="64" x14ac:dyDescent="0.3"/>
    <row r="65" x14ac:dyDescent="0.3"/>
    <row r="66" x14ac:dyDescent="0.3"/>
    <row r="67" x14ac:dyDescent="0.3"/>
    <row r="68" x14ac:dyDescent="0.3"/>
    <row r="69" x14ac:dyDescent="0.3"/>
    <row r="70" x14ac:dyDescent="0.3"/>
    <row r="71" x14ac:dyDescent="0.3"/>
    <row r="72" x14ac:dyDescent="0.3"/>
    <row r="73" x14ac:dyDescent="0.3"/>
    <row r="74" x14ac:dyDescent="0.3"/>
  </sheetData>
  <pageMargins left="0.7" right="0.7" top="0.75" bottom="0.75" header="0.3" footer="0.3"/>
  <pageSetup paperSize="9" orientation="portrait" horizontalDpi="360" verticalDpi="36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E2D8ED-9B0E-4AAA-9E36-6D6D162C896A}">
  <sheetPr>
    <tabColor theme="5"/>
  </sheetPr>
  <dimension ref="B6"/>
  <sheetViews>
    <sheetView topLeftCell="G1" zoomScale="48" workbookViewId="0">
      <selection activeCell="C6" sqref="C6"/>
    </sheetView>
  </sheetViews>
  <sheetFormatPr baseColWidth="10" defaultColWidth="11" defaultRowHeight="14" x14ac:dyDescent="0.3"/>
  <sheetData>
    <row r="6" spans="2:2" x14ac:dyDescent="0.3">
      <c r="B6">
        <v>1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DC7F83-1F56-4555-B101-BB63FDAF6D97}">
  <sheetPr>
    <tabColor theme="5"/>
  </sheetPr>
  <dimension ref="A1"/>
  <sheetViews>
    <sheetView showGridLines="0" workbookViewId="0">
      <selection activeCell="Q30" sqref="Q30"/>
    </sheetView>
  </sheetViews>
  <sheetFormatPr baseColWidth="10" defaultColWidth="11" defaultRowHeight="1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4EF4FF-1849-47E6-BB19-635D6A5DD5CC}">
  <sheetPr>
    <tabColor theme="7"/>
  </sheetPr>
  <dimension ref="A1:P125"/>
  <sheetViews>
    <sheetView showGridLines="0" tabSelected="1" zoomScale="55" zoomScaleNormal="158" workbookViewId="0">
      <selection activeCell="F28" sqref="F28"/>
    </sheetView>
  </sheetViews>
  <sheetFormatPr baseColWidth="10" defaultColWidth="0" defaultRowHeight="14" zeroHeight="1" x14ac:dyDescent="0.3"/>
  <cols>
    <col min="1" max="1" width="2.6640625" customWidth="1"/>
    <col min="2" max="2" width="49.6640625" bestFit="1" customWidth="1"/>
    <col min="3" max="3" width="11" customWidth="1"/>
    <col min="4" max="4" width="48.1640625" customWidth="1"/>
    <col min="5" max="5" width="28.33203125" customWidth="1"/>
    <col min="6" max="6" width="49.6640625" customWidth="1"/>
    <col min="7" max="7" width="11" customWidth="1"/>
    <col min="8" max="8" width="12" bestFit="1" customWidth="1"/>
    <col min="9" max="12" width="11" customWidth="1"/>
    <col min="13" max="13" width="11" hidden="1" customWidth="1"/>
    <col min="14" max="14" width="2.6640625" customWidth="1"/>
    <col min="15" max="17" width="11" hidden="1" customWidth="1"/>
    <col min="18" max="16384" width="11" hidden="1"/>
  </cols>
  <sheetData>
    <row r="1" x14ac:dyDescent="0.3"/>
    <row r="2" x14ac:dyDescent="0.3"/>
    <row r="3" x14ac:dyDescent="0.3"/>
    <row r="4" x14ac:dyDescent="0.3"/>
    <row r="5" x14ac:dyDescent="0.3"/>
    <row r="6" x14ac:dyDescent="0.3"/>
    <row r="7" x14ac:dyDescent="0.3"/>
    <row r="8" x14ac:dyDescent="0.3"/>
    <row r="9" x14ac:dyDescent="0.3"/>
    <row r="10" x14ac:dyDescent="0.3"/>
    <row r="11" x14ac:dyDescent="0.3"/>
    <row r="12" x14ac:dyDescent="0.3"/>
    <row r="13" x14ac:dyDescent="0.3"/>
    <row r="14" x14ac:dyDescent="0.3"/>
    <row r="15" x14ac:dyDescent="0.3"/>
    <row r="16" x14ac:dyDescent="0.3"/>
    <row r="17" spans="4:16" x14ac:dyDescent="0.3"/>
    <row r="18" spans="4:16" x14ac:dyDescent="0.3"/>
    <row r="19" spans="4:16" x14ac:dyDescent="0.3"/>
    <row r="20" spans="4:16" x14ac:dyDescent="0.3"/>
    <row r="21" spans="4:16" x14ac:dyDescent="0.3"/>
    <row r="22" spans="4:16" ht="20" x14ac:dyDescent="0.4">
      <c r="D22" s="147" t="s">
        <v>17</v>
      </c>
      <c r="E22" s="16"/>
      <c r="F22" s="16"/>
      <c r="G22" s="16"/>
      <c r="H22" s="16"/>
      <c r="I22" s="16"/>
    </row>
    <row r="23" spans="4:16" ht="44.5" customHeight="1" x14ac:dyDescent="0.4">
      <c r="D23" s="344" t="s">
        <v>505</v>
      </c>
      <c r="E23" s="344"/>
      <c r="F23" s="344"/>
      <c r="G23" s="344"/>
      <c r="H23" s="344"/>
      <c r="I23" s="344"/>
      <c r="J23" s="344"/>
      <c r="K23" s="344"/>
      <c r="L23" s="344"/>
      <c r="M23" s="140"/>
      <c r="N23" s="140"/>
      <c r="O23" s="140"/>
      <c r="P23" s="140"/>
    </row>
    <row r="24" spans="4:16" ht="20" x14ac:dyDescent="0.4">
      <c r="D24" s="16" t="s">
        <v>506</v>
      </c>
      <c r="E24" s="16"/>
      <c r="F24" s="16"/>
      <c r="G24" s="16"/>
      <c r="H24" s="16"/>
      <c r="I24" s="16"/>
    </row>
    <row r="25" spans="4:16" ht="20" x14ac:dyDescent="0.4">
      <c r="D25" s="16" t="s">
        <v>507</v>
      </c>
      <c r="E25" s="16"/>
      <c r="F25" s="16"/>
      <c r="G25" s="16"/>
      <c r="H25" s="16"/>
      <c r="I25" s="16"/>
    </row>
    <row r="26" spans="4:16" ht="20" x14ac:dyDescent="0.4">
      <c r="D26" s="16" t="s">
        <v>508</v>
      </c>
      <c r="E26" s="16"/>
      <c r="F26" s="16"/>
      <c r="G26" s="16"/>
      <c r="H26" s="16"/>
      <c r="I26" s="16"/>
    </row>
    <row r="27" spans="4:16" ht="20" x14ac:dyDescent="0.4">
      <c r="D27" s="16" t="s">
        <v>509</v>
      </c>
      <c r="E27" s="16"/>
      <c r="F27" s="16"/>
      <c r="G27" s="16"/>
      <c r="H27" s="16"/>
      <c r="I27" s="16"/>
    </row>
    <row r="28" spans="4:16" ht="20" x14ac:dyDescent="0.4">
      <c r="D28" s="16"/>
      <c r="E28" s="16"/>
      <c r="F28" s="16"/>
      <c r="G28" s="16"/>
      <c r="H28" s="16"/>
      <c r="I28" s="16"/>
    </row>
    <row r="29" spans="4:16" ht="20" x14ac:dyDescent="0.4">
      <c r="D29" s="147" t="s">
        <v>18</v>
      </c>
      <c r="E29" s="16"/>
      <c r="F29" s="16"/>
      <c r="G29" s="16"/>
      <c r="H29" s="16"/>
      <c r="I29" s="16"/>
    </row>
    <row r="30" spans="4:16" ht="20" x14ac:dyDescent="0.4">
      <c r="D30" s="16" t="s">
        <v>510</v>
      </c>
      <c r="E30" s="16"/>
      <c r="F30" s="16"/>
      <c r="G30" s="16"/>
      <c r="H30" s="16"/>
      <c r="I30" s="16"/>
    </row>
    <row r="31" spans="4:16" ht="20" x14ac:dyDescent="0.4">
      <c r="D31" s="16" t="s">
        <v>511</v>
      </c>
      <c r="E31" s="16"/>
      <c r="F31" s="16"/>
      <c r="G31" s="16"/>
      <c r="H31" s="16"/>
      <c r="I31" s="16"/>
    </row>
    <row r="32" spans="4:16" ht="20" x14ac:dyDescent="0.4">
      <c r="D32" s="16" t="s">
        <v>512</v>
      </c>
      <c r="E32" s="16"/>
      <c r="F32" s="16"/>
      <c r="G32" s="16"/>
      <c r="H32" s="16"/>
      <c r="I32" s="16"/>
    </row>
    <row r="33" spans="4:9" ht="20" x14ac:dyDescent="0.4">
      <c r="D33" s="16"/>
      <c r="E33" s="16"/>
      <c r="F33" s="16"/>
      <c r="G33" s="16"/>
      <c r="H33" s="16"/>
      <c r="I33" s="16"/>
    </row>
    <row r="34" spans="4:9" ht="20" x14ac:dyDescent="0.4">
      <c r="D34" s="16"/>
      <c r="E34" s="16"/>
      <c r="F34" s="16"/>
      <c r="G34" s="16"/>
      <c r="H34" s="16"/>
      <c r="I34" s="16"/>
    </row>
    <row r="35" spans="4:9" ht="20" x14ac:dyDescent="0.4">
      <c r="D35" s="138" t="s">
        <v>19</v>
      </c>
      <c r="E35" s="16" t="s">
        <v>20</v>
      </c>
      <c r="F35" s="16"/>
      <c r="G35" s="16"/>
      <c r="H35" s="16"/>
      <c r="I35" s="16"/>
    </row>
    <row r="36" spans="4:9" ht="20" x14ac:dyDescent="0.4">
      <c r="D36" s="138" t="s">
        <v>21</v>
      </c>
      <c r="E36" s="16" t="s">
        <v>22</v>
      </c>
      <c r="F36" s="16"/>
      <c r="G36" s="16"/>
      <c r="H36" s="16"/>
      <c r="I36" s="16"/>
    </row>
    <row r="37" spans="4:9" ht="20" x14ac:dyDescent="0.4">
      <c r="D37" s="138" t="s">
        <v>23</v>
      </c>
      <c r="E37" s="16" t="s">
        <v>24</v>
      </c>
      <c r="F37" s="16"/>
      <c r="G37" s="16"/>
      <c r="H37" s="16"/>
      <c r="I37" s="16"/>
    </row>
    <row r="38" spans="4:9" ht="20" x14ac:dyDescent="0.4">
      <c r="D38" s="138" t="s">
        <v>7</v>
      </c>
      <c r="E38" s="16" t="s">
        <v>25</v>
      </c>
      <c r="F38" s="16"/>
      <c r="G38" s="16"/>
      <c r="H38" s="16"/>
      <c r="I38" s="16"/>
    </row>
    <row r="39" spans="4:9" ht="20" x14ac:dyDescent="0.4">
      <c r="D39" s="138"/>
      <c r="E39" s="16" t="s">
        <v>26</v>
      </c>
      <c r="F39" s="16"/>
      <c r="G39" s="16"/>
      <c r="H39" s="16"/>
      <c r="I39" s="16"/>
    </row>
    <row r="40" spans="4:9" ht="20" x14ac:dyDescent="0.4">
      <c r="D40" s="16"/>
      <c r="E40" s="16" t="s">
        <v>27</v>
      </c>
      <c r="F40" s="16"/>
      <c r="G40" s="16"/>
      <c r="H40" s="16"/>
      <c r="I40" s="16"/>
    </row>
    <row r="41" spans="4:9" ht="20" x14ac:dyDescent="0.4">
      <c r="D41" s="16"/>
      <c r="E41" s="16"/>
      <c r="F41" s="16"/>
      <c r="G41" s="16"/>
      <c r="H41" s="16"/>
      <c r="I41" s="16"/>
    </row>
    <row r="42" spans="4:9" ht="20" x14ac:dyDescent="0.4">
      <c r="D42" s="138" t="s">
        <v>28</v>
      </c>
      <c r="E42" s="16" t="s">
        <v>513</v>
      </c>
      <c r="F42" s="16"/>
      <c r="G42" s="16"/>
      <c r="H42" s="16"/>
      <c r="I42" s="16"/>
    </row>
    <row r="43" spans="4:9" ht="20" x14ac:dyDescent="0.4">
      <c r="D43" s="16"/>
      <c r="E43" s="16"/>
      <c r="F43" s="16"/>
      <c r="G43" s="16"/>
      <c r="H43" s="16"/>
      <c r="I43" s="16"/>
    </row>
    <row r="44" spans="4:9" x14ac:dyDescent="0.3"/>
    <row r="45" spans="4:9" x14ac:dyDescent="0.3"/>
    <row r="46" spans="4:9" x14ac:dyDescent="0.3"/>
    <row r="47" spans="4:9" x14ac:dyDescent="0.3"/>
    <row r="48" spans="4:9" x14ac:dyDescent="0.3"/>
    <row r="49" spans="5:6" x14ac:dyDescent="0.3"/>
    <row r="50" spans="5:6" x14ac:dyDescent="0.3"/>
    <row r="51" spans="5:6" x14ac:dyDescent="0.3"/>
    <row r="52" spans="5:6" x14ac:dyDescent="0.3"/>
    <row r="53" spans="5:6" x14ac:dyDescent="0.3"/>
    <row r="54" spans="5:6" x14ac:dyDescent="0.3"/>
    <row r="55" spans="5:6" x14ac:dyDescent="0.3"/>
    <row r="56" spans="5:6" x14ac:dyDescent="0.3"/>
    <row r="57" spans="5:6" x14ac:dyDescent="0.3"/>
    <row r="58" spans="5:6" x14ac:dyDescent="0.3"/>
    <row r="59" spans="5:6" ht="20" x14ac:dyDescent="0.4">
      <c r="E59" s="16" t="s">
        <v>514</v>
      </c>
      <c r="F59" s="16" t="s">
        <v>515</v>
      </c>
    </row>
    <row r="60" spans="5:6" x14ac:dyDescent="0.3"/>
    <row r="61" spans="5:6" x14ac:dyDescent="0.3"/>
    <row r="62" spans="5:6" x14ac:dyDescent="0.3"/>
    <row r="63" spans="5:6" x14ac:dyDescent="0.3"/>
    <row r="64" spans="5:6" x14ac:dyDescent="0.3"/>
    <row r="65" spans="6:6" x14ac:dyDescent="0.3"/>
    <row r="66" spans="6:6" x14ac:dyDescent="0.3"/>
    <row r="67" spans="6:6" x14ac:dyDescent="0.3"/>
    <row r="68" spans="6:6" x14ac:dyDescent="0.3"/>
    <row r="69" spans="6:6" x14ac:dyDescent="0.3"/>
    <row r="70" spans="6:6" x14ac:dyDescent="0.3"/>
    <row r="71" spans="6:6" x14ac:dyDescent="0.3"/>
    <row r="72" spans="6:6" x14ac:dyDescent="0.3"/>
    <row r="73" spans="6:6" x14ac:dyDescent="0.3"/>
    <row r="74" spans="6:6" x14ac:dyDescent="0.3"/>
    <row r="75" spans="6:6" x14ac:dyDescent="0.3"/>
    <row r="76" spans="6:6" x14ac:dyDescent="0.3"/>
    <row r="77" spans="6:6" ht="20" x14ac:dyDescent="0.4">
      <c r="F77" s="16" t="s">
        <v>516</v>
      </c>
    </row>
    <row r="78" spans="6:6" x14ac:dyDescent="0.3"/>
    <row r="79" spans="6:6" x14ac:dyDescent="0.3"/>
    <row r="80" spans="6:6" x14ac:dyDescent="0.3"/>
    <row r="81" spans="5:13" x14ac:dyDescent="0.3"/>
    <row r="82" spans="5:13" x14ac:dyDescent="0.3"/>
    <row r="83" spans="5:13" x14ac:dyDescent="0.3"/>
    <row r="84" spans="5:13" x14ac:dyDescent="0.3"/>
    <row r="85" spans="5:13" x14ac:dyDescent="0.3"/>
    <row r="86" spans="5:13" x14ac:dyDescent="0.3"/>
    <row r="87" spans="5:13" x14ac:dyDescent="0.3"/>
    <row r="88" spans="5:13" x14ac:dyDescent="0.3"/>
    <row r="89" spans="5:13" x14ac:dyDescent="0.3"/>
    <row r="90" spans="5:13" x14ac:dyDescent="0.3"/>
    <row r="91" spans="5:13" x14ac:dyDescent="0.3"/>
    <row r="92" spans="5:13" x14ac:dyDescent="0.3"/>
    <row r="93" spans="5:13" x14ac:dyDescent="0.3">
      <c r="F93" s="342" t="s">
        <v>29</v>
      </c>
      <c r="G93" s="342"/>
      <c r="H93" s="342"/>
    </row>
    <row r="94" spans="5:13" ht="14" customHeight="1" x14ac:dyDescent="0.3">
      <c r="F94" s="342"/>
      <c r="G94" s="342"/>
      <c r="H94" s="342"/>
      <c r="I94" s="148"/>
      <c r="J94" s="148"/>
      <c r="K94" s="148"/>
      <c r="L94" s="148"/>
      <c r="M94" s="148"/>
    </row>
    <row r="95" spans="5:13" x14ac:dyDescent="0.3">
      <c r="I95" s="148"/>
      <c r="J95" s="148"/>
      <c r="K95" s="148"/>
      <c r="L95" s="148"/>
      <c r="M95" s="148"/>
    </row>
    <row r="96" spans="5:13" ht="20" x14ac:dyDescent="0.4">
      <c r="E96" s="149" t="s">
        <v>517</v>
      </c>
    </row>
    <row r="97" spans="5:11" ht="7" customHeight="1" x14ac:dyDescent="0.4">
      <c r="E97" s="149"/>
    </row>
    <row r="98" spans="5:11" ht="19" customHeight="1" x14ac:dyDescent="0.3">
      <c r="E98" s="343" t="s">
        <v>518</v>
      </c>
      <c r="F98" s="343"/>
      <c r="G98" s="343"/>
      <c r="H98" s="343"/>
      <c r="I98" s="343"/>
      <c r="J98" s="343"/>
      <c r="K98" s="343"/>
    </row>
    <row r="99" spans="5:11" ht="20.5" customHeight="1" x14ac:dyDescent="0.3">
      <c r="E99" s="343"/>
      <c r="F99" s="343"/>
      <c r="G99" s="343"/>
      <c r="H99" s="343"/>
      <c r="I99" s="343"/>
      <c r="J99" s="343"/>
      <c r="K99" s="343"/>
    </row>
    <row r="100" spans="5:11" ht="20.5" customHeight="1" x14ac:dyDescent="0.3">
      <c r="E100" s="150"/>
      <c r="F100" s="150"/>
      <c r="G100" s="150"/>
      <c r="H100" s="150"/>
      <c r="I100" s="150"/>
      <c r="J100" s="150"/>
      <c r="K100" s="150"/>
    </row>
    <row r="101" spans="5:11" ht="20.5" customHeight="1" x14ac:dyDescent="0.3">
      <c r="E101" s="150"/>
      <c r="F101" s="150"/>
      <c r="G101" s="150"/>
      <c r="H101" s="150"/>
      <c r="I101" s="150"/>
      <c r="J101" s="150"/>
      <c r="K101" s="150"/>
    </row>
    <row r="102" spans="5:11" x14ac:dyDescent="0.3"/>
    <row r="103" spans="5:11" x14ac:dyDescent="0.3"/>
    <row r="104" spans="5:11" x14ac:dyDescent="0.3"/>
    <row r="105" spans="5:11" x14ac:dyDescent="0.3"/>
    <row r="106" spans="5:11" x14ac:dyDescent="0.3"/>
    <row r="107" spans="5:11" x14ac:dyDescent="0.3"/>
    <row r="108" spans="5:11" x14ac:dyDescent="0.3"/>
    <row r="109" spans="5:11" x14ac:dyDescent="0.3"/>
    <row r="110" spans="5:11" x14ac:dyDescent="0.3"/>
    <row r="111" spans="5:11" x14ac:dyDescent="0.3"/>
    <row r="112" spans="5:11" x14ac:dyDescent="0.3"/>
    <row r="113" spans="4:4" x14ac:dyDescent="0.3"/>
    <row r="114" spans="4:4" x14ac:dyDescent="0.3"/>
    <row r="115" spans="4:4" x14ac:dyDescent="0.3"/>
    <row r="116" spans="4:4" x14ac:dyDescent="0.3"/>
    <row r="117" spans="4:4" x14ac:dyDescent="0.3"/>
    <row r="118" spans="4:4" ht="20" x14ac:dyDescent="0.4">
      <c r="D118" s="16" t="s">
        <v>30</v>
      </c>
    </row>
    <row r="119" spans="4:4" x14ac:dyDescent="0.3"/>
    <row r="120" spans="4:4" x14ac:dyDescent="0.3"/>
    <row r="121" spans="4:4" x14ac:dyDescent="0.3"/>
    <row r="122" spans="4:4" x14ac:dyDescent="0.3"/>
    <row r="123" spans="4:4" x14ac:dyDescent="0.3"/>
    <row r="124" spans="4:4" x14ac:dyDescent="0.3"/>
    <row r="125" spans="4:4" x14ac:dyDescent="0.3"/>
  </sheetData>
  <mergeCells count="3">
    <mergeCell ref="F93:H94"/>
    <mergeCell ref="E98:K99"/>
    <mergeCell ref="D23:L23"/>
  </mergeCells>
  <pageMargins left="0.7" right="0.7" top="0.75" bottom="0.75" header="0.3" footer="0.3"/>
  <pageSetup paperSize="9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A74D66-6EF1-41B4-B62C-6C0BF371633F}">
  <sheetPr>
    <tabColor theme="7" tint="0.79998168889431442"/>
  </sheetPr>
  <dimension ref="A1:M59"/>
  <sheetViews>
    <sheetView showGridLines="0" zoomScale="44" zoomScaleNormal="50" workbookViewId="0">
      <selection activeCell="F7" sqref="F7"/>
    </sheetView>
  </sheetViews>
  <sheetFormatPr baseColWidth="10" defaultColWidth="0" defaultRowHeight="20" zeroHeight="1" x14ac:dyDescent="0.4"/>
  <cols>
    <col min="1" max="1" width="2.1640625" style="16" customWidth="1"/>
    <col min="2" max="2" width="56.1640625" style="16" customWidth="1"/>
    <col min="3" max="3" width="56.33203125" style="16" customWidth="1"/>
    <col min="4" max="5" width="30.1640625" style="16" customWidth="1"/>
    <col min="6" max="6" width="33.1640625" style="16" bestFit="1" customWidth="1"/>
    <col min="7" max="7" width="11" style="16" bestFit="1" customWidth="1"/>
    <col min="8" max="8" width="3" style="16" customWidth="1"/>
    <col min="9" max="9" width="41.83203125" style="16" customWidth="1"/>
    <col min="10" max="12" width="35.6640625" style="16" customWidth="1"/>
    <col min="13" max="13" width="2.1640625" style="16" customWidth="1"/>
    <col min="14" max="14" width="11" style="16" hidden="1" customWidth="1"/>
    <col min="15" max="16384" width="11" style="16" hidden="1"/>
  </cols>
  <sheetData>
    <row r="1" spans="2:12" x14ac:dyDescent="0.4"/>
    <row r="2" spans="2:12" x14ac:dyDescent="0.4"/>
    <row r="3" spans="2:12" x14ac:dyDescent="0.4"/>
    <row r="4" spans="2:12" x14ac:dyDescent="0.4"/>
    <row r="5" spans="2:12" x14ac:dyDescent="0.4"/>
    <row r="6" spans="2:12" x14ac:dyDescent="0.4">
      <c r="B6" s="146" t="s">
        <v>19</v>
      </c>
      <c r="C6" s="275">
        <v>100</v>
      </c>
    </row>
    <row r="7" spans="2:12" x14ac:dyDescent="0.4"/>
    <row r="8" spans="2:12" ht="20.5" thickBot="1" x14ac:dyDescent="0.45">
      <c r="C8" s="181" t="s">
        <v>31</v>
      </c>
      <c r="D8" s="181" t="s">
        <v>32</v>
      </c>
    </row>
    <row r="9" spans="2:12" ht="20.5" thickBot="1" x14ac:dyDescent="0.45">
      <c r="B9" s="146" t="s">
        <v>33</v>
      </c>
      <c r="C9" s="276">
        <f>'Input-Ponderador riesgo'!D24</f>
        <v>0.57999999999999996</v>
      </c>
      <c r="D9" s="277">
        <f>'Input-Ponderador riesgo'!E24</f>
        <v>0.42</v>
      </c>
    </row>
    <row r="10" spans="2:12" x14ac:dyDescent="0.4">
      <c r="B10" s="184" t="s">
        <v>34</v>
      </c>
      <c r="C10" s="281" t="s">
        <v>35</v>
      </c>
    </row>
    <row r="11" spans="2:12" x14ac:dyDescent="0.4">
      <c r="B11" s="186"/>
    </row>
    <row r="12" spans="2:12" ht="20.5" thickBot="1" x14ac:dyDescent="0.45">
      <c r="C12" s="346" t="s">
        <v>36</v>
      </c>
      <c r="D12" s="346"/>
      <c r="E12" s="346"/>
      <c r="F12" s="151"/>
      <c r="I12" s="345"/>
      <c r="J12" s="345"/>
      <c r="K12" s="345"/>
      <c r="L12" s="345"/>
    </row>
    <row r="13" spans="2:12" ht="40" x14ac:dyDescent="0.4">
      <c r="C13" s="159" t="s">
        <v>37</v>
      </c>
      <c r="D13" s="157" t="s">
        <v>38</v>
      </c>
      <c r="E13" s="158" t="s">
        <v>39</v>
      </c>
      <c r="I13" s="156"/>
      <c r="J13" s="156"/>
      <c r="K13" s="156"/>
      <c r="L13" s="156"/>
    </row>
    <row r="14" spans="2:12" ht="20.5" thickBot="1" x14ac:dyDescent="0.45">
      <c r="B14" s="146" t="s">
        <v>40</v>
      </c>
      <c r="C14" s="278">
        <f>'Input-Ponderador riesgo'!C13</f>
        <v>0.35177865612648218</v>
      </c>
      <c r="D14" s="279">
        <f>'Input-Ponderador riesgo'!D13</f>
        <v>0.54545454545454541</v>
      </c>
      <c r="E14" s="280">
        <f>'Input-Ponderador riesgo'!E13</f>
        <v>0.10276679841897232</v>
      </c>
    </row>
    <row r="15" spans="2:12" x14ac:dyDescent="0.4">
      <c r="B15" s="184" t="s">
        <v>34</v>
      </c>
      <c r="C15" s="281" t="s">
        <v>35</v>
      </c>
    </row>
    <row r="16" spans="2:12" x14ac:dyDescent="0.4">
      <c r="B16" s="185"/>
    </row>
    <row r="17" spans="2:12" x14ac:dyDescent="0.4"/>
    <row r="18" spans="2:12" ht="36.5" customHeight="1" x14ac:dyDescent="0.4">
      <c r="B18" s="146" t="s">
        <v>41</v>
      </c>
    </row>
    <row r="19" spans="2:12" ht="36.5" customHeight="1" thickBot="1" x14ac:dyDescent="0.45">
      <c r="B19" s="138"/>
      <c r="D19" s="354" t="s">
        <v>42</v>
      </c>
      <c r="E19" s="354"/>
      <c r="F19" s="354"/>
      <c r="I19" s="355" t="s">
        <v>43</v>
      </c>
      <c r="J19" s="355"/>
      <c r="K19" s="355"/>
      <c r="L19" s="355"/>
    </row>
    <row r="20" spans="2:12" ht="40" x14ac:dyDescent="0.4">
      <c r="B20" s="347" t="s">
        <v>44</v>
      </c>
      <c r="C20" s="348"/>
      <c r="D20" s="157" t="s">
        <v>37</v>
      </c>
      <c r="E20" s="157" t="s">
        <v>45</v>
      </c>
      <c r="F20" s="158" t="s">
        <v>39</v>
      </c>
      <c r="I20" s="159" t="s">
        <v>46</v>
      </c>
      <c r="J20" s="157" t="s">
        <v>37</v>
      </c>
      <c r="K20" s="157" t="s">
        <v>38</v>
      </c>
      <c r="L20" s="158" t="s">
        <v>39</v>
      </c>
    </row>
    <row r="21" spans="2:12" s="177" customFormat="1" ht="40.5" customHeight="1" x14ac:dyDescent="0.3">
      <c r="B21" s="352" t="s">
        <v>47</v>
      </c>
      <c r="C21" s="176" t="s">
        <v>48</v>
      </c>
      <c r="D21" s="282">
        <f>'Input-Costo complicaciones'!C10</f>
        <v>2.7E-2</v>
      </c>
      <c r="E21" s="282">
        <f>'Input-Costo complicaciones'!D10</f>
        <v>0.251</v>
      </c>
      <c r="F21" s="283">
        <f>'Input-Costo complicaciones'!E10</f>
        <v>0.36049999999999999</v>
      </c>
      <c r="I21" s="178" t="s">
        <v>48</v>
      </c>
      <c r="J21" s="190">
        <f>'Input-Costo complicaciones'!D21</f>
        <v>11226089</v>
      </c>
      <c r="K21" s="190">
        <f>'Input-Costo complicaciones'!E21</f>
        <v>12348697.9</v>
      </c>
      <c r="L21" s="191">
        <f>'Input-Costo complicaciones'!F21</f>
        <v>12910002.35</v>
      </c>
    </row>
    <row r="22" spans="2:12" s="177" customFormat="1" ht="40.5" customHeight="1" x14ac:dyDescent="0.3">
      <c r="B22" s="352"/>
      <c r="C22" s="179" t="s">
        <v>49</v>
      </c>
      <c r="D22" s="282">
        <f>'Input-Costo complicaciones'!C11</f>
        <v>2.1999999999999999E-2</v>
      </c>
      <c r="E22" s="282">
        <f>'Input-Costo complicaciones'!D11</f>
        <v>5.5999999999999994E-2</v>
      </c>
      <c r="F22" s="283">
        <f>'Input-Costo complicaciones'!E11</f>
        <v>0.09</v>
      </c>
      <c r="I22" s="178" t="s">
        <v>49</v>
      </c>
      <c r="J22" s="190">
        <f>'Input-Costo complicaciones'!D22</f>
        <v>6427887</v>
      </c>
      <c r="K22" s="190">
        <f>'Input-Costo complicaciones'!E22</f>
        <v>7070675.7000000002</v>
      </c>
      <c r="L22" s="191">
        <f>'Input-Costo complicaciones'!F22</f>
        <v>7392070.0499999998</v>
      </c>
    </row>
    <row r="23" spans="2:12" s="177" customFormat="1" ht="40.5" customHeight="1" thickBot="1" x14ac:dyDescent="0.35">
      <c r="B23" s="353"/>
      <c r="C23" s="180" t="s">
        <v>50</v>
      </c>
      <c r="D23" s="284">
        <f>'Input-Costo complicaciones'!C12</f>
        <v>2.2000000000000001E-3</v>
      </c>
      <c r="E23" s="284">
        <f>'Input-Costo complicaciones'!D12</f>
        <v>2.7999999999999997E-2</v>
      </c>
      <c r="F23" s="285">
        <f>'Input-Costo complicaciones'!E12</f>
        <v>0.09</v>
      </c>
      <c r="I23" s="178" t="s">
        <v>50</v>
      </c>
      <c r="J23" s="190">
        <f>'Input-Costo complicaciones'!D23</f>
        <v>9854160.3664000016</v>
      </c>
      <c r="K23" s="190">
        <f>'Input-Costo complicaciones'!E23</f>
        <v>12003518.135200003</v>
      </c>
      <c r="L23" s="191">
        <f>'Input-Costo complicaciones'!F23</f>
        <v>279967476.5108</v>
      </c>
    </row>
    <row r="24" spans="2:12" ht="20.5" thickBot="1" x14ac:dyDescent="0.45">
      <c r="C24" s="184" t="s">
        <v>34</v>
      </c>
      <c r="D24" s="286" t="s">
        <v>51</v>
      </c>
      <c r="E24" s="162"/>
      <c r="F24" s="162"/>
      <c r="I24" s="163" t="s">
        <v>52</v>
      </c>
      <c r="J24" s="164">
        <f>SUM(J21:J23)</f>
        <v>27508136.366400003</v>
      </c>
      <c r="K24" s="164">
        <f>SUM(K21:K23)</f>
        <v>31422891.735200003</v>
      </c>
      <c r="L24" s="188">
        <f t="shared" ref="L24" si="0">SUM(L21:L23)</f>
        <v>300269548.91079998</v>
      </c>
    </row>
    <row r="25" spans="2:12" ht="28" x14ac:dyDescent="0.4">
      <c r="D25" s="165"/>
      <c r="E25" s="162"/>
      <c r="F25" s="162"/>
      <c r="I25" s="184" t="s">
        <v>34</v>
      </c>
      <c r="J25" s="189" t="s">
        <v>51</v>
      </c>
    </row>
    <row r="26" spans="2:12" ht="20.5" thickBot="1" x14ac:dyDescent="0.45">
      <c r="D26" s="162"/>
      <c r="E26" s="162"/>
      <c r="F26" s="162"/>
      <c r="G26" s="162"/>
      <c r="H26" s="162"/>
    </row>
    <row r="27" spans="2:12" ht="40" x14ac:dyDescent="0.4">
      <c r="B27" s="146" t="s">
        <v>53</v>
      </c>
      <c r="C27" s="166" t="s">
        <v>54</v>
      </c>
      <c r="D27" s="157" t="s">
        <v>37</v>
      </c>
      <c r="E27" s="157" t="s">
        <v>55</v>
      </c>
      <c r="F27" s="158" t="s">
        <v>39</v>
      </c>
      <c r="G27" s="167" t="s">
        <v>56</v>
      </c>
      <c r="H27" s="156"/>
    </row>
    <row r="28" spans="2:12" ht="20.5" thickBot="1" x14ac:dyDescent="0.45">
      <c r="C28" s="168" t="s">
        <v>57</v>
      </c>
      <c r="D28" s="169">
        <f>SUM(D29:D35)</f>
        <v>1</v>
      </c>
      <c r="E28" s="169">
        <f t="shared" ref="E28:F28" si="1">SUM(E29:E35)</f>
        <v>0.1</v>
      </c>
      <c r="F28" s="170">
        <f t="shared" si="1"/>
        <v>0</v>
      </c>
      <c r="G28" s="171">
        <f>AVERAGE(D28:F28)</f>
        <v>0.3666666666666667</v>
      </c>
      <c r="H28" s="192"/>
      <c r="I28" s="140"/>
    </row>
    <row r="29" spans="2:12" ht="23.5" customHeight="1" x14ac:dyDescent="0.4">
      <c r="C29" s="88" t="s">
        <v>313</v>
      </c>
      <c r="D29" s="287">
        <v>0.2</v>
      </c>
      <c r="E29" s="287">
        <v>0</v>
      </c>
      <c r="F29" s="288">
        <v>0</v>
      </c>
      <c r="G29" s="349"/>
      <c r="H29" s="193"/>
      <c r="I29" s="93"/>
    </row>
    <row r="30" spans="2:12" ht="20.5" customHeight="1" x14ac:dyDescent="0.4">
      <c r="C30" s="88" t="s">
        <v>320</v>
      </c>
      <c r="D30" s="287">
        <v>0.35</v>
      </c>
      <c r="E30" s="287">
        <v>0.05</v>
      </c>
      <c r="F30" s="288">
        <v>0</v>
      </c>
      <c r="G30" s="350"/>
      <c r="H30" s="193"/>
    </row>
    <row r="31" spans="2:12" ht="20.5" customHeight="1" x14ac:dyDescent="0.4">
      <c r="C31" s="88" t="s">
        <v>58</v>
      </c>
      <c r="D31" s="287">
        <v>0.25</v>
      </c>
      <c r="E31" s="287">
        <v>0.05</v>
      </c>
      <c r="F31" s="288">
        <v>0</v>
      </c>
      <c r="G31" s="350"/>
      <c r="H31" s="193"/>
    </row>
    <row r="32" spans="2:12" ht="20.5" customHeight="1" x14ac:dyDescent="0.4">
      <c r="C32" s="88" t="s">
        <v>59</v>
      </c>
      <c r="D32" s="287">
        <v>0.1</v>
      </c>
      <c r="E32" s="287">
        <v>0</v>
      </c>
      <c r="F32" s="288">
        <v>0</v>
      </c>
      <c r="G32" s="350"/>
      <c r="H32" s="193"/>
    </row>
    <row r="33" spans="3:9" ht="20.5" customHeight="1" x14ac:dyDescent="0.4">
      <c r="C33" s="88" t="s">
        <v>60</v>
      </c>
      <c r="D33" s="287">
        <v>0</v>
      </c>
      <c r="E33" s="287">
        <v>0</v>
      </c>
      <c r="F33" s="288">
        <v>0</v>
      </c>
      <c r="G33" s="350"/>
      <c r="H33" s="193"/>
    </row>
    <row r="34" spans="3:9" ht="20.5" customHeight="1" x14ac:dyDescent="0.4">
      <c r="C34" s="88" t="s">
        <v>332</v>
      </c>
      <c r="D34" s="287">
        <v>0</v>
      </c>
      <c r="E34" s="287">
        <v>0</v>
      </c>
      <c r="F34" s="288">
        <v>0</v>
      </c>
      <c r="G34" s="350"/>
      <c r="H34" s="193"/>
    </row>
    <row r="35" spans="3:9" ht="20.5" customHeight="1" thickBot="1" x14ac:dyDescent="0.45">
      <c r="C35" s="88" t="s">
        <v>335</v>
      </c>
      <c r="D35" s="287">
        <v>0.1</v>
      </c>
      <c r="E35" s="287">
        <v>0</v>
      </c>
      <c r="F35" s="288">
        <v>0</v>
      </c>
      <c r="G35" s="351"/>
      <c r="H35" s="193"/>
    </row>
    <row r="36" spans="3:9" ht="20.5" customHeight="1" thickBot="1" x14ac:dyDescent="0.45">
      <c r="C36" s="168" t="s">
        <v>62</v>
      </c>
      <c r="D36" s="169">
        <f>SUM(D37:D47)</f>
        <v>0</v>
      </c>
      <c r="E36" s="169">
        <f>SUM(E37:E47)</f>
        <v>0.9</v>
      </c>
      <c r="F36" s="170">
        <f>SUM(F37:F47)</f>
        <v>0.35</v>
      </c>
      <c r="G36" s="172">
        <f>AVERAGE(D36:F36)</f>
        <v>0.41666666666666669</v>
      </c>
      <c r="H36" s="192"/>
    </row>
    <row r="37" spans="3:9" ht="20.5" customHeight="1" x14ac:dyDescent="0.4">
      <c r="C37" s="88" t="s">
        <v>63</v>
      </c>
      <c r="D37" s="287">
        <v>0</v>
      </c>
      <c r="E37" s="287">
        <v>0.4</v>
      </c>
      <c r="F37" s="288">
        <v>0.3</v>
      </c>
      <c r="G37" s="173"/>
      <c r="H37" s="173"/>
    </row>
    <row r="38" spans="3:9" ht="20.5" customHeight="1" x14ac:dyDescent="0.4">
      <c r="C38" s="88" t="s">
        <v>64</v>
      </c>
      <c r="D38" s="287">
        <v>0</v>
      </c>
      <c r="E38" s="287">
        <v>0.1</v>
      </c>
      <c r="F38" s="288">
        <v>0</v>
      </c>
      <c r="G38" s="173"/>
      <c r="H38" s="173"/>
    </row>
    <row r="39" spans="3:9" ht="20.5" customHeight="1" x14ac:dyDescent="0.4">
      <c r="C39" s="88" t="s">
        <v>65</v>
      </c>
      <c r="D39" s="287">
        <v>0</v>
      </c>
      <c r="E39" s="287">
        <v>0.1</v>
      </c>
      <c r="F39" s="288">
        <v>0</v>
      </c>
      <c r="G39" s="173"/>
      <c r="H39" s="173"/>
    </row>
    <row r="40" spans="3:9" ht="20.5" customHeight="1" x14ac:dyDescent="0.4">
      <c r="C40" s="88" t="s">
        <v>66</v>
      </c>
      <c r="D40" s="287">
        <v>0</v>
      </c>
      <c r="E40" s="287">
        <v>0.25</v>
      </c>
      <c r="F40" s="288">
        <v>0</v>
      </c>
      <c r="G40" s="173"/>
      <c r="H40" s="173"/>
    </row>
    <row r="41" spans="3:9" ht="20.5" customHeight="1" x14ac:dyDescent="0.4">
      <c r="C41" s="88" t="s">
        <v>67</v>
      </c>
      <c r="D41" s="287">
        <v>0</v>
      </c>
      <c r="E41" s="287">
        <v>0.05</v>
      </c>
      <c r="F41" s="288">
        <v>0</v>
      </c>
      <c r="G41" s="173"/>
      <c r="H41" s="173"/>
    </row>
    <row r="42" spans="3:9" ht="20.5" customHeight="1" x14ac:dyDescent="0.4">
      <c r="C42" s="88" t="s">
        <v>68</v>
      </c>
      <c r="D42" s="287">
        <v>0</v>
      </c>
      <c r="E42" s="287">
        <v>0</v>
      </c>
      <c r="F42" s="288">
        <v>0</v>
      </c>
      <c r="G42" s="173"/>
      <c r="H42" s="173"/>
    </row>
    <row r="43" spans="3:9" ht="20.5" customHeight="1" x14ac:dyDescent="0.4">
      <c r="C43" s="88" t="s">
        <v>69</v>
      </c>
      <c r="D43" s="287">
        <v>0</v>
      </c>
      <c r="E43" s="287">
        <v>0</v>
      </c>
      <c r="F43" s="288">
        <v>0</v>
      </c>
      <c r="G43" s="173"/>
      <c r="H43" s="173"/>
    </row>
    <row r="44" spans="3:9" ht="20.5" customHeight="1" x14ac:dyDescent="0.4">
      <c r="C44" s="88" t="s">
        <v>497</v>
      </c>
      <c r="D44" s="287">
        <v>0</v>
      </c>
      <c r="E44" s="287">
        <v>0</v>
      </c>
      <c r="F44" s="288">
        <v>0</v>
      </c>
    </row>
    <row r="45" spans="3:9" ht="20.5" customHeight="1" x14ac:dyDescent="0.4">
      <c r="C45" s="88" t="s">
        <v>70</v>
      </c>
      <c r="D45" s="287">
        <v>0</v>
      </c>
      <c r="E45" s="287">
        <v>0</v>
      </c>
      <c r="F45" s="288">
        <v>0.05</v>
      </c>
      <c r="G45" s="173"/>
      <c r="H45" s="173"/>
    </row>
    <row r="46" spans="3:9" ht="20.5" customHeight="1" x14ac:dyDescent="0.4">
      <c r="C46" s="88" t="s">
        <v>71</v>
      </c>
      <c r="D46" s="287">
        <v>0</v>
      </c>
      <c r="E46" s="287">
        <v>0</v>
      </c>
      <c r="F46" s="288">
        <v>0</v>
      </c>
      <c r="G46" s="173"/>
      <c r="H46" s="173"/>
      <c r="I46" s="93"/>
    </row>
    <row r="47" spans="3:9" ht="20.5" customHeight="1" thickBot="1" x14ac:dyDescent="0.45">
      <c r="C47" s="88" t="s">
        <v>72</v>
      </c>
      <c r="D47" s="287">
        <v>0</v>
      </c>
      <c r="E47" s="287">
        <v>0</v>
      </c>
      <c r="F47" s="288">
        <v>0</v>
      </c>
      <c r="G47" s="173"/>
      <c r="H47" s="173"/>
    </row>
    <row r="48" spans="3:9" ht="20.5" customHeight="1" thickBot="1" x14ac:dyDescent="0.45">
      <c r="C48" s="168" t="s">
        <v>73</v>
      </c>
      <c r="D48" s="169">
        <f>SUM(D49:D56)</f>
        <v>0</v>
      </c>
      <c r="E48" s="169">
        <f t="shared" ref="E48:F48" si="2">SUM(E49:E56)</f>
        <v>0</v>
      </c>
      <c r="F48" s="170">
        <f t="shared" si="2"/>
        <v>0.65</v>
      </c>
      <c r="G48" s="172">
        <f>AVERAGE(D48:F48)</f>
        <v>0.21666666666666667</v>
      </c>
      <c r="H48" s="192"/>
    </row>
    <row r="49" spans="3:8" ht="20.5" customHeight="1" x14ac:dyDescent="0.4">
      <c r="C49" s="88" t="s">
        <v>74</v>
      </c>
      <c r="D49" s="287">
        <v>0</v>
      </c>
      <c r="E49" s="287">
        <v>0</v>
      </c>
      <c r="F49" s="288">
        <v>0.23</v>
      </c>
      <c r="G49" s="137"/>
      <c r="H49" s="137"/>
    </row>
    <row r="50" spans="3:8" ht="20.5" customHeight="1" x14ac:dyDescent="0.4">
      <c r="C50" s="88" t="s">
        <v>75</v>
      </c>
      <c r="D50" s="287">
        <v>0</v>
      </c>
      <c r="E50" s="287">
        <v>0</v>
      </c>
      <c r="F50" s="288">
        <v>0.05</v>
      </c>
      <c r="G50" s="137"/>
      <c r="H50" s="137"/>
    </row>
    <row r="51" spans="3:8" ht="20.5" customHeight="1" x14ac:dyDescent="0.4">
      <c r="C51" s="88" t="s">
        <v>76</v>
      </c>
      <c r="D51" s="287">
        <v>0</v>
      </c>
      <c r="E51" s="287">
        <v>0</v>
      </c>
      <c r="F51" s="288">
        <v>0.1</v>
      </c>
      <c r="G51" s="137"/>
      <c r="H51" s="137"/>
    </row>
    <row r="52" spans="3:8" ht="20.5" customHeight="1" x14ac:dyDescent="0.4">
      <c r="C52" s="88" t="s">
        <v>498</v>
      </c>
      <c r="D52" s="287">
        <v>0</v>
      </c>
      <c r="E52" s="287">
        <v>0</v>
      </c>
      <c r="F52" s="288">
        <v>0.1</v>
      </c>
      <c r="G52" s="137"/>
      <c r="H52" s="137"/>
    </row>
    <row r="53" spans="3:8" ht="20.5" customHeight="1" x14ac:dyDescent="0.4">
      <c r="C53" s="88" t="s">
        <v>499</v>
      </c>
      <c r="D53" s="287">
        <v>0</v>
      </c>
      <c r="E53" s="287">
        <v>0</v>
      </c>
      <c r="F53" s="288">
        <v>0</v>
      </c>
      <c r="G53" s="137"/>
      <c r="H53" s="137"/>
    </row>
    <row r="54" spans="3:8" ht="20.5" customHeight="1" x14ac:dyDescent="0.4">
      <c r="C54" s="88" t="s">
        <v>77</v>
      </c>
      <c r="D54" s="287">
        <v>0</v>
      </c>
      <c r="E54" s="287">
        <v>0</v>
      </c>
      <c r="F54" s="288">
        <v>0.1</v>
      </c>
      <c r="G54" s="137"/>
      <c r="H54" s="137"/>
    </row>
    <row r="55" spans="3:8" ht="20.5" customHeight="1" x14ac:dyDescent="0.4">
      <c r="C55" s="88" t="s">
        <v>78</v>
      </c>
      <c r="D55" s="287">
        <v>0</v>
      </c>
      <c r="E55" s="287">
        <v>0</v>
      </c>
      <c r="F55" s="288">
        <v>0.03</v>
      </c>
      <c r="G55" s="137"/>
      <c r="H55" s="137"/>
    </row>
    <row r="56" spans="3:8" ht="20.5" customHeight="1" x14ac:dyDescent="0.4">
      <c r="C56" s="88" t="s">
        <v>79</v>
      </c>
      <c r="D56" s="287">
        <v>0</v>
      </c>
      <c r="E56" s="287">
        <v>0</v>
      </c>
      <c r="F56" s="288">
        <v>0.04</v>
      </c>
      <c r="G56" s="137"/>
      <c r="H56" s="137"/>
    </row>
    <row r="57" spans="3:8" ht="20.5" customHeight="1" thickBot="1" x14ac:dyDescent="0.45">
      <c r="C57" s="89"/>
      <c r="D57" s="174">
        <f>SUM(D28,D36,D48)</f>
        <v>1</v>
      </c>
      <c r="E57" s="174">
        <f>SUM(E28,E36,E48)</f>
        <v>1</v>
      </c>
      <c r="F57" s="175">
        <f>SUM(F28,F36,F48)</f>
        <v>1</v>
      </c>
      <c r="G57" s="137"/>
      <c r="H57" s="137"/>
    </row>
    <row r="58" spans="3:8" ht="20.5" thickBot="1" x14ac:dyDescent="0.45">
      <c r="C58" s="184" t="s">
        <v>34</v>
      </c>
      <c r="D58" s="289" t="s">
        <v>80</v>
      </c>
    </row>
    <row r="59" spans="3:8" x14ac:dyDescent="0.4"/>
  </sheetData>
  <mergeCells count="7">
    <mergeCell ref="I12:L12"/>
    <mergeCell ref="C12:E12"/>
    <mergeCell ref="B20:C20"/>
    <mergeCell ref="G29:G35"/>
    <mergeCell ref="B21:B23"/>
    <mergeCell ref="D19:F19"/>
    <mergeCell ref="I19:L19"/>
  </mergeCells>
  <hyperlinks>
    <hyperlink ref="C10" location="'Input-Ponderador riesgo'!A1" display="Ver Input-Ponderador riesgo" xr:uid="{94BD04E7-EA0E-4ECB-A177-8C7C29F32B6A}"/>
    <hyperlink ref="C15" location="'Input-Ponderador riesgo'!A1" display="Ver Input-Ponderador riesgo" xr:uid="{99F24D5F-AA93-4C82-A5DA-222CF1ABC8F6}"/>
    <hyperlink ref="D24" location="'Input-Costo complicaciones'!A1" display="Ver Input-Costo complicaciones" xr:uid="{DF5384C1-BFE6-43F6-84A4-98480DD94B69}"/>
    <hyperlink ref="J25" location="'Input-Costo complicaciones'!A1" display="Ver Input-Costo complicaciones" xr:uid="{A1FADD57-BCAD-46A4-8FF1-B667B7DD9B41}"/>
    <hyperlink ref="D58" location="'Input-Costos tecnologías'!A1" display="Ver Input-Costos tecnologías" xr:uid="{9CD5AEFF-6EB7-47BE-ABBA-3DACCEEC364F}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9EE75B-4C3D-4577-A6F0-7C3321772748}">
  <sheetPr>
    <tabColor theme="7" tint="0.79998168889431442"/>
  </sheetPr>
  <dimension ref="A1:O62"/>
  <sheetViews>
    <sheetView showGridLines="0" zoomScale="67" zoomScaleNormal="43" workbookViewId="0">
      <selection activeCell="B7" sqref="B7"/>
    </sheetView>
  </sheetViews>
  <sheetFormatPr baseColWidth="10" defaultColWidth="0" defaultRowHeight="14" zeroHeight="1" x14ac:dyDescent="0.3"/>
  <cols>
    <col min="1" max="1" width="1.83203125" customWidth="1"/>
    <col min="2" max="2" width="73" customWidth="1"/>
    <col min="3" max="3" width="24.6640625" bestFit="1" customWidth="1"/>
    <col min="4" max="6" width="25.6640625" customWidth="1"/>
    <col min="7" max="7" width="37.6640625" customWidth="1"/>
    <col min="8" max="8" width="11" customWidth="1"/>
    <col min="9" max="9" width="3.83203125" customWidth="1"/>
    <col min="10" max="10" width="2" customWidth="1"/>
    <col min="11" max="13" width="35.6640625" hidden="1" customWidth="1"/>
    <col min="14" max="15" width="0" hidden="1" customWidth="1"/>
    <col min="16" max="16384" width="11" hidden="1"/>
  </cols>
  <sheetData>
    <row r="1" spans="2:6" x14ac:dyDescent="0.3"/>
    <row r="2" spans="2:6" x14ac:dyDescent="0.3"/>
    <row r="3" spans="2:6" x14ac:dyDescent="0.3"/>
    <row r="4" spans="2:6" x14ac:dyDescent="0.3"/>
    <row r="5" spans="2:6" x14ac:dyDescent="0.3"/>
    <row r="6" spans="2:6" x14ac:dyDescent="0.3"/>
    <row r="7" spans="2:6" ht="23" x14ac:dyDescent="0.5">
      <c r="B7" s="143" t="s">
        <v>19</v>
      </c>
      <c r="C7" s="183">
        <f>Input!C6</f>
        <v>100</v>
      </c>
    </row>
    <row r="8" spans="2:6" x14ac:dyDescent="0.3"/>
    <row r="9" spans="2:6" ht="23" x14ac:dyDescent="0.3">
      <c r="C9" s="194" t="s">
        <v>81</v>
      </c>
      <c r="D9" s="194" t="s">
        <v>82</v>
      </c>
    </row>
    <row r="10" spans="2:6" ht="20" x14ac:dyDescent="0.4">
      <c r="B10" s="99" t="s">
        <v>83</v>
      </c>
      <c r="C10" s="272">
        <f>Input!C9</f>
        <v>0.57999999999999996</v>
      </c>
      <c r="D10" s="272">
        <f>Input!D9</f>
        <v>0.42</v>
      </c>
    </row>
    <row r="11" spans="2:6" x14ac:dyDescent="0.3"/>
    <row r="12" spans="2:6" ht="40" x14ac:dyDescent="0.4">
      <c r="B12" s="100" t="s">
        <v>84</v>
      </c>
      <c r="C12" s="182" t="s">
        <v>37</v>
      </c>
      <c r="D12" s="182" t="s">
        <v>38</v>
      </c>
      <c r="E12" s="182" t="s">
        <v>39</v>
      </c>
      <c r="F12" s="181" t="s">
        <v>52</v>
      </c>
    </row>
    <row r="13" spans="2:6" ht="20" x14ac:dyDescent="0.4">
      <c r="C13" s="273">
        <f>(C29*$C$10)+(C29*$D$10)</f>
        <v>0.35177865612648218</v>
      </c>
      <c r="D13" s="273">
        <f t="shared" ref="D13:E13" si="0">(D29*$C$10)+(D29*$D$10)</f>
        <v>0.54545454545454541</v>
      </c>
      <c r="E13" s="273">
        <f t="shared" si="0"/>
        <v>0.10276679841897232</v>
      </c>
      <c r="F13" s="195">
        <f>SUM(C13:E13)</f>
        <v>0.99999999999999989</v>
      </c>
    </row>
    <row r="14" spans="2:6" x14ac:dyDescent="0.3"/>
    <row r="15" spans="2:6" ht="36" x14ac:dyDescent="0.3">
      <c r="C15" s="196" t="s">
        <v>37</v>
      </c>
      <c r="D15" s="196" t="s">
        <v>45</v>
      </c>
      <c r="E15" s="196" t="s">
        <v>39</v>
      </c>
    </row>
    <row r="16" spans="2:6" ht="20" x14ac:dyDescent="0.4">
      <c r="B16" s="99" t="s">
        <v>85</v>
      </c>
      <c r="C16" s="274">
        <f>ROUND($C$7*C13,0)</f>
        <v>35</v>
      </c>
      <c r="D16" s="274">
        <f>ROUND($C$7*D13,0)</f>
        <v>55</v>
      </c>
      <c r="E16" s="274">
        <f>ROUND($C$7*E13,0)</f>
        <v>10</v>
      </c>
    </row>
    <row r="17" spans="2:14" ht="20" x14ac:dyDescent="0.4">
      <c r="B17" s="99"/>
      <c r="C17" s="16"/>
      <c r="D17" s="16"/>
      <c r="E17" s="16"/>
    </row>
    <row r="18" spans="2:14" ht="20" x14ac:dyDescent="0.4">
      <c r="B18" s="99"/>
      <c r="C18" s="16"/>
      <c r="D18" s="16"/>
      <c r="E18" s="16"/>
    </row>
    <row r="19" spans="2:14" x14ac:dyDescent="0.3"/>
    <row r="20" spans="2:14" ht="23" x14ac:dyDescent="0.5">
      <c r="B20" s="143" t="s">
        <v>86</v>
      </c>
    </row>
    <row r="21" spans="2:14" ht="23" x14ac:dyDescent="0.5">
      <c r="B21" s="14"/>
    </row>
    <row r="22" spans="2:14" ht="20" x14ac:dyDescent="0.4">
      <c r="B22" s="138" t="s">
        <v>87</v>
      </c>
      <c r="C22" s="199"/>
      <c r="D22" s="181" t="s">
        <v>81</v>
      </c>
      <c r="E22" s="181" t="s">
        <v>82</v>
      </c>
      <c r="F22" s="181" t="s">
        <v>88</v>
      </c>
    </row>
    <row r="23" spans="2:14" ht="70.5" customHeight="1" x14ac:dyDescent="0.3">
      <c r="C23" s="181" t="s">
        <v>89</v>
      </c>
      <c r="D23" s="198">
        <v>0.64</v>
      </c>
      <c r="E23" s="198">
        <v>0.36</v>
      </c>
      <c r="F23" s="200" t="s">
        <v>90</v>
      </c>
      <c r="G23" s="357" t="s">
        <v>91</v>
      </c>
      <c r="H23" s="358"/>
      <c r="I23" s="358"/>
    </row>
    <row r="24" spans="2:14" ht="70.5" customHeight="1" x14ac:dyDescent="0.5">
      <c r="B24" s="14"/>
      <c r="C24" s="181" t="s">
        <v>92</v>
      </c>
      <c r="D24" s="198">
        <v>0.57999999999999996</v>
      </c>
      <c r="E24" s="198">
        <v>0.42</v>
      </c>
      <c r="F24" s="200" t="s">
        <v>93</v>
      </c>
      <c r="G24" s="359" t="s">
        <v>94</v>
      </c>
      <c r="H24" s="360"/>
      <c r="I24" s="360"/>
    </row>
    <row r="25" spans="2:14" ht="23" x14ac:dyDescent="0.5">
      <c r="B25" s="14"/>
    </row>
    <row r="26" spans="2:14" ht="20" x14ac:dyDescent="0.4">
      <c r="B26" s="138" t="s">
        <v>95</v>
      </c>
    </row>
    <row r="27" spans="2:14" ht="20" x14ac:dyDescent="0.4">
      <c r="B27" s="16"/>
    </row>
    <row r="28" spans="2:14" s="16" customFormat="1" ht="36" x14ac:dyDescent="0.4">
      <c r="B28" s="16" t="s">
        <v>96</v>
      </c>
      <c r="C28" s="196" t="s">
        <v>37</v>
      </c>
      <c r="D28" s="196" t="s">
        <v>38</v>
      </c>
      <c r="E28" s="196" t="s">
        <v>39</v>
      </c>
      <c r="F28" s="145"/>
    </row>
    <row r="29" spans="2:14" s="16" customFormat="1" ht="20" x14ac:dyDescent="0.4">
      <c r="C29" s="209">
        <f>89/253</f>
        <v>0.35177865612648224</v>
      </c>
      <c r="D29" s="209">
        <f>138/253</f>
        <v>0.54545454545454541</v>
      </c>
      <c r="E29" s="209">
        <f>26/253</f>
        <v>0.10276679841897234</v>
      </c>
      <c r="F29" s="206">
        <f>SUM(C29:E29)</f>
        <v>0.99999999999999989</v>
      </c>
      <c r="N29" s="195"/>
    </row>
    <row r="30" spans="2:14" s="16" customFormat="1" ht="20" x14ac:dyDescent="0.4">
      <c r="C30" s="206"/>
      <c r="D30" s="206"/>
      <c r="E30" s="206"/>
      <c r="F30" s="206"/>
      <c r="N30" s="195"/>
    </row>
    <row r="31" spans="2:14" s="16" customFormat="1" ht="36" x14ac:dyDescent="0.4">
      <c r="B31" s="16" t="s">
        <v>97</v>
      </c>
      <c r="C31" s="196" t="s">
        <v>37</v>
      </c>
      <c r="D31" s="196" t="s">
        <v>38</v>
      </c>
      <c r="E31" s="196" t="s">
        <v>39</v>
      </c>
      <c r="F31" s="206"/>
      <c r="N31" s="195"/>
    </row>
    <row r="32" spans="2:14" s="16" customFormat="1" ht="20" x14ac:dyDescent="0.4">
      <c r="C32" s="205">
        <v>0.33</v>
      </c>
      <c r="D32" s="205">
        <v>0.45</v>
      </c>
      <c r="E32" s="205">
        <v>0.22</v>
      </c>
      <c r="F32" s="207">
        <f>SUM(C32:E32)</f>
        <v>1</v>
      </c>
      <c r="G32" s="195"/>
    </row>
    <row r="33" spans="2:13" s="16" customFormat="1" ht="20" x14ac:dyDescent="0.4">
      <c r="C33" s="206"/>
      <c r="D33" s="206"/>
      <c r="E33" s="206"/>
      <c r="F33" s="206"/>
      <c r="G33" s="195"/>
    </row>
    <row r="34" spans="2:13" s="16" customFormat="1" ht="36" x14ac:dyDescent="0.4">
      <c r="B34" s="16" t="s">
        <v>98</v>
      </c>
      <c r="C34" s="196" t="s">
        <v>37</v>
      </c>
      <c r="D34" s="196" t="s">
        <v>38</v>
      </c>
      <c r="E34" s="196" t="s">
        <v>39</v>
      </c>
      <c r="F34" s="206"/>
      <c r="G34" s="195"/>
    </row>
    <row r="35" spans="2:13" s="16" customFormat="1" ht="20" x14ac:dyDescent="0.4">
      <c r="C35" s="209">
        <v>0.15</v>
      </c>
      <c r="D35" s="209">
        <v>0.68</v>
      </c>
      <c r="E35" s="209">
        <v>0.17</v>
      </c>
      <c r="F35" s="206">
        <f>SUM(C35:E35)</f>
        <v>1</v>
      </c>
      <c r="G35" s="195"/>
    </row>
    <row r="36" spans="2:13" s="16" customFormat="1" ht="20" x14ac:dyDescent="0.4">
      <c r="C36" s="206"/>
      <c r="D36" s="206"/>
      <c r="E36" s="206"/>
      <c r="F36" s="206"/>
      <c r="G36" s="195"/>
    </row>
    <row r="37" spans="2:13" s="16" customFormat="1" ht="18.5" customHeight="1" x14ac:dyDescent="0.4">
      <c r="C37" s="145"/>
      <c r="D37" s="145"/>
      <c r="E37" s="145"/>
      <c r="F37" s="145"/>
    </row>
    <row r="38" spans="2:13" s="16" customFormat="1" ht="20" x14ac:dyDescent="0.4">
      <c r="C38" s="356" t="s">
        <v>81</v>
      </c>
      <c r="D38" s="356"/>
      <c r="E38" s="356"/>
      <c r="F38" s="356"/>
      <c r="G38" s="195"/>
    </row>
    <row r="39" spans="2:13" s="16" customFormat="1" ht="40" x14ac:dyDescent="0.4">
      <c r="B39" s="140" t="s">
        <v>99</v>
      </c>
      <c r="C39" s="210" t="s">
        <v>100</v>
      </c>
      <c r="D39" s="210" t="s">
        <v>101</v>
      </c>
      <c r="E39" s="210" t="s">
        <v>102</v>
      </c>
      <c r="F39" s="210" t="s">
        <v>103</v>
      </c>
    </row>
    <row r="40" spans="2:13" s="16" customFormat="1" ht="20" x14ac:dyDescent="0.4">
      <c r="C40" s="197">
        <v>0.01</v>
      </c>
      <c r="D40" s="197">
        <v>0.31</v>
      </c>
      <c r="E40" s="197">
        <v>0.64</v>
      </c>
      <c r="F40" s="197">
        <v>0.04</v>
      </c>
      <c r="G40" s="201">
        <f>SUM(C40:F40)</f>
        <v>1</v>
      </c>
    </row>
    <row r="41" spans="2:13" s="16" customFormat="1" ht="20" x14ac:dyDescent="0.4">
      <c r="C41" s="208"/>
      <c r="D41" s="208"/>
      <c r="E41" s="208"/>
      <c r="F41" s="208"/>
      <c r="G41" s="201"/>
    </row>
    <row r="42" spans="2:13" s="16" customFormat="1" ht="20" x14ac:dyDescent="0.4">
      <c r="C42" s="356" t="s">
        <v>82</v>
      </c>
      <c r="D42" s="356"/>
      <c r="E42" s="356"/>
      <c r="F42" s="356"/>
      <c r="G42" s="202"/>
    </row>
    <row r="43" spans="2:13" s="16" customFormat="1" ht="40" x14ac:dyDescent="0.4">
      <c r="B43" s="140" t="s">
        <v>104</v>
      </c>
      <c r="C43" s="210" t="s">
        <v>100</v>
      </c>
      <c r="D43" s="210" t="s">
        <v>101</v>
      </c>
      <c r="E43" s="210" t="s">
        <v>102</v>
      </c>
      <c r="F43" s="210" t="s">
        <v>103</v>
      </c>
      <c r="G43" s="202"/>
    </row>
    <row r="44" spans="2:13" s="16" customFormat="1" ht="20" x14ac:dyDescent="0.4">
      <c r="C44" s="197">
        <v>0.03</v>
      </c>
      <c r="D44" s="197">
        <v>0.42</v>
      </c>
      <c r="E44" s="197">
        <v>0.54</v>
      </c>
      <c r="F44" s="197">
        <v>0.01</v>
      </c>
      <c r="G44" s="201">
        <f>SUM(C44:F44)</f>
        <v>1</v>
      </c>
    </row>
    <row r="45" spans="2:13" s="16" customFormat="1" ht="20" x14ac:dyDescent="0.4">
      <c r="C45" s="211" t="s">
        <v>105</v>
      </c>
      <c r="D45" s="152"/>
      <c r="E45" s="152"/>
      <c r="F45" s="152"/>
      <c r="G45" s="203"/>
    </row>
    <row r="46" spans="2:13" s="16" customFormat="1" ht="20" x14ac:dyDescent="0.4">
      <c r="C46" s="152"/>
      <c r="D46" s="152"/>
      <c r="E46" s="152"/>
      <c r="F46" s="152"/>
      <c r="G46" s="202"/>
    </row>
    <row r="47" spans="2:13" s="16" customFormat="1" ht="20" x14ac:dyDescent="0.4">
      <c r="C47" s="199"/>
      <c r="D47" s="199"/>
      <c r="E47" s="199"/>
      <c r="F47" s="199"/>
      <c r="G47" s="201"/>
      <c r="J47" s="199"/>
      <c r="K47" s="199"/>
      <c r="L47" s="199"/>
      <c r="M47" s="199"/>
    </row>
    <row r="48" spans="2:13" s="16" customFormat="1" ht="20" x14ac:dyDescent="0.4">
      <c r="C48" s="356" t="s">
        <v>81</v>
      </c>
      <c r="D48" s="356"/>
      <c r="E48" s="356"/>
      <c r="F48" s="356"/>
      <c r="G48" s="203"/>
      <c r="J48" s="199"/>
      <c r="K48" s="199"/>
      <c r="L48" s="199"/>
      <c r="M48" s="199"/>
    </row>
    <row r="49" spans="2:14" s="16" customFormat="1" ht="20" x14ac:dyDescent="0.4">
      <c r="B49" s="16" t="s">
        <v>106</v>
      </c>
      <c r="C49" s="210" t="s">
        <v>100</v>
      </c>
      <c r="D49" s="210" t="s">
        <v>101</v>
      </c>
      <c r="E49" s="210" t="s">
        <v>102</v>
      </c>
      <c r="F49" s="210" t="s">
        <v>103</v>
      </c>
      <c r="G49" s="201"/>
      <c r="J49" s="199"/>
      <c r="K49" s="199"/>
      <c r="L49" s="199"/>
      <c r="M49" s="199"/>
    </row>
    <row r="50" spans="2:14" s="16" customFormat="1" ht="20" x14ac:dyDescent="0.4">
      <c r="B50" s="16" t="s">
        <v>107</v>
      </c>
      <c r="C50" s="197">
        <v>0</v>
      </c>
      <c r="D50" s="197">
        <v>0.24</v>
      </c>
      <c r="E50" s="197">
        <v>0.7</v>
      </c>
      <c r="F50" s="197">
        <v>0.06</v>
      </c>
      <c r="G50" s="201">
        <f>SUM(C50:F50)</f>
        <v>1</v>
      </c>
      <c r="J50" s="199"/>
      <c r="K50" s="199"/>
      <c r="L50" s="199"/>
      <c r="M50" s="199"/>
    </row>
    <row r="51" spans="2:14" s="16" customFormat="1" ht="20" x14ac:dyDescent="0.4">
      <c r="C51" s="204" t="s">
        <v>108</v>
      </c>
      <c r="D51" s="204" t="s">
        <v>109</v>
      </c>
      <c r="E51" s="199"/>
      <c r="F51" s="199"/>
      <c r="G51" s="201"/>
      <c r="J51" s="199"/>
      <c r="K51" s="199"/>
      <c r="L51" s="199"/>
      <c r="M51" s="199"/>
    </row>
    <row r="52" spans="2:14" s="16" customFormat="1" ht="20" x14ac:dyDescent="0.4">
      <c r="C52" s="199"/>
      <c r="D52" s="199"/>
      <c r="E52" s="199"/>
      <c r="F52" s="199"/>
      <c r="G52" s="201"/>
      <c r="J52" s="199"/>
      <c r="K52" s="199"/>
      <c r="L52" s="199"/>
      <c r="M52" s="199"/>
    </row>
    <row r="53" spans="2:14" s="16" customFormat="1" ht="20" x14ac:dyDescent="0.4">
      <c r="C53" s="356" t="s">
        <v>82</v>
      </c>
      <c r="D53" s="356"/>
      <c r="E53" s="356"/>
      <c r="F53" s="356"/>
      <c r="G53" s="203"/>
    </row>
    <row r="54" spans="2:14" s="16" customFormat="1" ht="20" x14ac:dyDescent="0.4">
      <c r="B54" s="16" t="s">
        <v>110</v>
      </c>
      <c r="C54" s="210" t="s">
        <v>100</v>
      </c>
      <c r="D54" s="210" t="s">
        <v>101</v>
      </c>
      <c r="E54" s="210" t="s">
        <v>102</v>
      </c>
      <c r="F54" s="210" t="s">
        <v>103</v>
      </c>
      <c r="G54" s="202"/>
    </row>
    <row r="55" spans="2:14" s="16" customFormat="1" ht="20" x14ac:dyDescent="0.4">
      <c r="B55" s="16" t="s">
        <v>111</v>
      </c>
      <c r="C55" s="209">
        <v>3.0000000000000001E-3</v>
      </c>
      <c r="D55" s="209">
        <v>0.249</v>
      </c>
      <c r="E55" s="209">
        <v>0.59699999999999998</v>
      </c>
      <c r="F55" s="209">
        <v>0.151</v>
      </c>
      <c r="G55" s="201">
        <f>SUM(C55:F55)</f>
        <v>1</v>
      </c>
      <c r="N55" s="195"/>
    </row>
    <row r="56" spans="2:14" s="16" customFormat="1" ht="20" x14ac:dyDescent="0.4">
      <c r="C56" s="145"/>
      <c r="D56" s="206"/>
      <c r="E56" s="206"/>
      <c r="F56" s="206"/>
      <c r="G56" s="195"/>
      <c r="H56" s="195"/>
    </row>
    <row r="58" spans="2:14" hidden="1" x14ac:dyDescent="0.3">
      <c r="B58" s="1"/>
    </row>
    <row r="62" spans="2:14" hidden="1" x14ac:dyDescent="0.3">
      <c r="D62" s="20"/>
      <c r="E62" s="20"/>
      <c r="F62" s="20"/>
      <c r="G62" s="20"/>
    </row>
  </sheetData>
  <mergeCells count="6">
    <mergeCell ref="C38:F38"/>
    <mergeCell ref="C42:F42"/>
    <mergeCell ref="C48:F48"/>
    <mergeCell ref="C53:F53"/>
    <mergeCell ref="G23:I23"/>
    <mergeCell ref="G24:I24"/>
  </mergeCells>
  <pageMargins left="0.7" right="0.7" top="0.75" bottom="0.75" header="0.3" footer="0.3"/>
  <pageSetup orientation="portrait" r:id="rId1"/>
  <headerFooter>
    <oddFooter>&amp;R_x000D_&amp;1#&amp;"Calibri"&amp;22&amp;KFF8939 RESTRICTED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6CB26F-AD0E-40B8-B4E7-ED94074F573C}">
  <sheetPr>
    <tabColor theme="4" tint="0.79998168889431442"/>
  </sheetPr>
  <dimension ref="B1:G80"/>
  <sheetViews>
    <sheetView topLeftCell="A61" zoomScale="70" zoomScaleNormal="70" workbookViewId="0">
      <selection activeCell="B42" sqref="B42:D68"/>
    </sheetView>
  </sheetViews>
  <sheetFormatPr baseColWidth="10" defaultColWidth="11" defaultRowHeight="14" x14ac:dyDescent="0.3"/>
  <cols>
    <col min="2" max="2" width="49.83203125" style="5" customWidth="1"/>
    <col min="3" max="3" width="7.1640625" bestFit="1" customWidth="1"/>
    <col min="4" max="4" width="60.33203125" style="5" customWidth="1"/>
    <col min="5" max="5" width="7.83203125" bestFit="1" customWidth="1"/>
    <col min="6" max="6" width="12.83203125" bestFit="1" customWidth="1"/>
  </cols>
  <sheetData>
    <row r="1" spans="2:7" x14ac:dyDescent="0.3">
      <c r="G1" t="s">
        <v>112</v>
      </c>
    </row>
    <row r="2" spans="2:7" x14ac:dyDescent="0.3">
      <c r="B2" s="5" t="s">
        <v>113</v>
      </c>
      <c r="C2" t="s">
        <v>114</v>
      </c>
      <c r="D2" s="5" t="s">
        <v>115</v>
      </c>
      <c r="E2" t="s">
        <v>116</v>
      </c>
      <c r="F2" t="s">
        <v>117</v>
      </c>
    </row>
    <row r="3" spans="2:7" ht="28" x14ac:dyDescent="0.3">
      <c r="B3" s="5" t="s">
        <v>118</v>
      </c>
      <c r="C3">
        <v>890202</v>
      </c>
      <c r="D3" s="5" t="s">
        <v>119</v>
      </c>
      <c r="E3" s="3">
        <v>5.15</v>
      </c>
      <c r="F3" s="3">
        <v>5.15</v>
      </c>
    </row>
    <row r="4" spans="2:7" ht="28" x14ac:dyDescent="0.3">
      <c r="C4">
        <v>890306</v>
      </c>
      <c r="D4" s="5" t="s">
        <v>120</v>
      </c>
      <c r="E4" s="3">
        <v>2.2599999999999998</v>
      </c>
      <c r="F4" s="3">
        <v>2.2599999999999998</v>
      </c>
    </row>
    <row r="5" spans="2:7" x14ac:dyDescent="0.3">
      <c r="B5" s="5" t="s">
        <v>121</v>
      </c>
      <c r="C5">
        <v>895101</v>
      </c>
      <c r="D5" s="5" t="s">
        <v>122</v>
      </c>
      <c r="E5" s="3">
        <v>5.62</v>
      </c>
      <c r="F5" s="3">
        <v>5.62</v>
      </c>
    </row>
    <row r="6" spans="2:7" x14ac:dyDescent="0.3">
      <c r="B6" s="5" t="s">
        <v>123</v>
      </c>
      <c r="C6" s="6">
        <v>894402</v>
      </c>
      <c r="D6" s="7" t="s">
        <v>124</v>
      </c>
      <c r="E6" s="3">
        <v>37.700000000000003</v>
      </c>
      <c r="F6" s="3">
        <v>37.700000000000003</v>
      </c>
    </row>
    <row r="7" spans="2:7" ht="28" x14ac:dyDescent="0.3">
      <c r="B7" s="5" t="s">
        <v>125</v>
      </c>
      <c r="C7" t="s">
        <v>126</v>
      </c>
      <c r="D7" s="5" t="s">
        <v>127</v>
      </c>
      <c r="E7" s="3">
        <v>39.31</v>
      </c>
      <c r="F7" s="3">
        <v>39.31</v>
      </c>
    </row>
    <row r="8" spans="2:7" x14ac:dyDescent="0.3">
      <c r="B8" s="5" t="s">
        <v>128</v>
      </c>
      <c r="C8" s="6">
        <v>881202</v>
      </c>
      <c r="D8" s="7" t="s">
        <v>129</v>
      </c>
      <c r="E8" s="3">
        <v>26.03</v>
      </c>
      <c r="F8" s="3">
        <v>26.03</v>
      </c>
    </row>
    <row r="9" spans="2:7" ht="70" x14ac:dyDescent="0.3">
      <c r="B9" s="5" t="s">
        <v>130</v>
      </c>
      <c r="C9">
        <v>902210</v>
      </c>
      <c r="D9" s="5" t="s">
        <v>131</v>
      </c>
      <c r="E9" s="3">
        <v>4.54</v>
      </c>
      <c r="F9" s="3">
        <v>4.54</v>
      </c>
    </row>
    <row r="10" spans="2:7" x14ac:dyDescent="0.3">
      <c r="B10" s="8" t="s">
        <v>132</v>
      </c>
      <c r="C10" s="1">
        <v>902012</v>
      </c>
      <c r="D10" s="8" t="s">
        <v>133</v>
      </c>
      <c r="E10" s="3">
        <v>82.37</v>
      </c>
      <c r="F10" s="3">
        <v>82.37</v>
      </c>
    </row>
    <row r="11" spans="2:7" x14ac:dyDescent="0.3">
      <c r="B11" s="8"/>
      <c r="C11" s="9">
        <v>903856</v>
      </c>
      <c r="D11" s="10" t="s">
        <v>134</v>
      </c>
      <c r="E11" s="3"/>
      <c r="F11" s="3"/>
    </row>
    <row r="12" spans="2:7" x14ac:dyDescent="0.3">
      <c r="C12" s="6">
        <v>903895</v>
      </c>
      <c r="D12" s="7" t="s">
        <v>135</v>
      </c>
      <c r="E12" s="3">
        <v>2.13</v>
      </c>
      <c r="F12" s="3">
        <v>2.13</v>
      </c>
    </row>
    <row r="13" spans="2:7" x14ac:dyDescent="0.3">
      <c r="C13">
        <v>903864</v>
      </c>
      <c r="D13" s="5" t="s">
        <v>136</v>
      </c>
      <c r="E13" s="3">
        <v>2.4500000000000002</v>
      </c>
      <c r="F13" s="3">
        <v>2.4500000000000002</v>
      </c>
    </row>
    <row r="14" spans="2:7" x14ac:dyDescent="0.3">
      <c r="C14">
        <v>903859</v>
      </c>
      <c r="D14" s="5" t="s">
        <v>137</v>
      </c>
      <c r="E14" s="3">
        <v>3.45</v>
      </c>
      <c r="F14" s="3">
        <v>3.45</v>
      </c>
    </row>
    <row r="15" spans="2:7" ht="28" x14ac:dyDescent="0.3">
      <c r="C15">
        <v>903866</v>
      </c>
      <c r="D15" s="5" t="s">
        <v>138</v>
      </c>
      <c r="E15" s="3">
        <v>1.87</v>
      </c>
      <c r="F15" s="3">
        <v>1.87</v>
      </c>
    </row>
    <row r="16" spans="2:7" ht="28" x14ac:dyDescent="0.3">
      <c r="C16">
        <v>903867</v>
      </c>
      <c r="D16" s="5" t="s">
        <v>139</v>
      </c>
      <c r="E16" s="3">
        <v>1.87</v>
      </c>
      <c r="F16" s="3">
        <v>1.87</v>
      </c>
    </row>
    <row r="17" spans="2:6" x14ac:dyDescent="0.3">
      <c r="C17" s="6">
        <v>902045</v>
      </c>
      <c r="D17" s="7" t="s">
        <v>140</v>
      </c>
      <c r="E17" s="3"/>
      <c r="F17" s="3"/>
    </row>
    <row r="18" spans="2:6" x14ac:dyDescent="0.3">
      <c r="C18">
        <v>903809</v>
      </c>
      <c r="D18" s="5" t="s">
        <v>141</v>
      </c>
      <c r="E18" s="3">
        <v>2.0699999999999998</v>
      </c>
      <c r="F18" s="3">
        <v>2.0699999999999998</v>
      </c>
    </row>
    <row r="19" spans="2:6" x14ac:dyDescent="0.3">
      <c r="C19" s="6">
        <v>871121</v>
      </c>
      <c r="D19" s="7" t="s">
        <v>142</v>
      </c>
      <c r="E19" s="3"/>
      <c r="F19" s="3"/>
    </row>
    <row r="20" spans="2:6" x14ac:dyDescent="0.3">
      <c r="C20" s="6">
        <v>903065</v>
      </c>
      <c r="D20" s="7" t="s">
        <v>143</v>
      </c>
      <c r="E20" s="3"/>
      <c r="F20" s="3"/>
    </row>
    <row r="21" spans="2:6" x14ac:dyDescent="0.3">
      <c r="C21" s="1">
        <v>904706</v>
      </c>
      <c r="D21" s="8" t="s">
        <v>144</v>
      </c>
      <c r="E21" s="3">
        <v>21.95</v>
      </c>
      <c r="F21" s="3">
        <v>21.95</v>
      </c>
    </row>
    <row r="22" spans="2:6" x14ac:dyDescent="0.3">
      <c r="B22" s="5" t="s">
        <v>145</v>
      </c>
      <c r="C22">
        <v>904902</v>
      </c>
      <c r="D22" s="5" t="s">
        <v>146</v>
      </c>
      <c r="E22" s="3">
        <v>9.8800000000000008</v>
      </c>
      <c r="F22" s="3">
        <v>9.8800000000000008</v>
      </c>
    </row>
    <row r="23" spans="2:6" x14ac:dyDescent="0.3">
      <c r="C23">
        <v>903439</v>
      </c>
      <c r="D23" s="5" t="s">
        <v>147</v>
      </c>
      <c r="E23" s="3">
        <v>16.16</v>
      </c>
      <c r="F23" s="3">
        <v>16.16</v>
      </c>
    </row>
    <row r="24" spans="2:6" x14ac:dyDescent="0.3">
      <c r="C24" s="1">
        <v>903438</v>
      </c>
      <c r="D24" s="8" t="s">
        <v>148</v>
      </c>
      <c r="E24" s="3">
        <v>11.48</v>
      </c>
      <c r="F24" s="3">
        <v>11.48</v>
      </c>
    </row>
    <row r="25" spans="2:6" x14ac:dyDescent="0.3">
      <c r="C25" s="1">
        <v>903801</v>
      </c>
      <c r="D25" s="8" t="s">
        <v>149</v>
      </c>
      <c r="E25" s="3">
        <v>1.37</v>
      </c>
      <c r="F25" s="3">
        <v>1.37</v>
      </c>
    </row>
    <row r="26" spans="2:6" x14ac:dyDescent="0.3">
      <c r="C26" s="1">
        <v>903016</v>
      </c>
      <c r="D26" s="8" t="s">
        <v>150</v>
      </c>
      <c r="E26" s="3">
        <v>6.65</v>
      </c>
      <c r="F26" s="3">
        <v>6.65</v>
      </c>
    </row>
    <row r="27" spans="2:6" x14ac:dyDescent="0.3">
      <c r="C27" s="9">
        <v>879901</v>
      </c>
      <c r="D27" s="10" t="s">
        <v>151</v>
      </c>
      <c r="E27" s="3"/>
      <c r="F27" s="3"/>
    </row>
    <row r="28" spans="2:6" x14ac:dyDescent="0.3">
      <c r="C28" s="9">
        <v>879301</v>
      </c>
      <c r="D28" s="10" t="s">
        <v>152</v>
      </c>
      <c r="E28" s="3"/>
      <c r="F28" s="3"/>
    </row>
    <row r="29" spans="2:6" x14ac:dyDescent="0.3">
      <c r="C29" s="9">
        <v>920304</v>
      </c>
      <c r="D29" s="10" t="s">
        <v>153</v>
      </c>
      <c r="E29" s="3"/>
      <c r="F29" s="3"/>
    </row>
    <row r="30" spans="2:6" x14ac:dyDescent="0.3">
      <c r="C30" s="1">
        <v>903044</v>
      </c>
      <c r="D30" s="8" t="s">
        <v>154</v>
      </c>
      <c r="E30" s="3">
        <v>5.44</v>
      </c>
      <c r="F30" s="3">
        <v>5.44</v>
      </c>
    </row>
    <row r="31" spans="2:6" x14ac:dyDescent="0.3">
      <c r="B31" s="5" t="s">
        <v>155</v>
      </c>
      <c r="C31">
        <v>903839</v>
      </c>
      <c r="D31" s="5" t="s">
        <v>156</v>
      </c>
      <c r="E31" s="3">
        <v>5.23</v>
      </c>
      <c r="F31" s="3">
        <v>5.23</v>
      </c>
    </row>
    <row r="32" spans="2:6" x14ac:dyDescent="0.3">
      <c r="C32" s="9">
        <v>883324</v>
      </c>
      <c r="D32" s="7" t="s">
        <v>157</v>
      </c>
      <c r="E32" s="3"/>
      <c r="F32" s="3"/>
    </row>
    <row r="33" spans="2:6" ht="28" x14ac:dyDescent="0.3">
      <c r="B33" s="5" t="s">
        <v>158</v>
      </c>
      <c r="C33" s="6">
        <v>3721</v>
      </c>
      <c r="D33" s="7" t="s">
        <v>159</v>
      </c>
      <c r="E33" s="3">
        <v>199.43</v>
      </c>
      <c r="F33" s="3">
        <v>199.43</v>
      </c>
    </row>
    <row r="34" spans="2:6" ht="42" x14ac:dyDescent="0.3">
      <c r="B34" s="5" t="s">
        <v>160</v>
      </c>
      <c r="E34" s="3">
        <v>494.37</v>
      </c>
      <c r="F34" s="3">
        <v>494.37</v>
      </c>
    </row>
    <row r="35" spans="2:6" x14ac:dyDescent="0.3">
      <c r="E35" s="3"/>
      <c r="F35" s="3"/>
    </row>
    <row r="36" spans="2:6" ht="42" x14ac:dyDescent="0.3">
      <c r="B36" s="8" t="s">
        <v>161</v>
      </c>
      <c r="D36" s="8" t="s">
        <v>162</v>
      </c>
      <c r="E36" s="3"/>
      <c r="F36" s="3"/>
    </row>
    <row r="38" spans="2:6" ht="28" x14ac:dyDescent="0.3">
      <c r="B38" s="7" t="s">
        <v>163</v>
      </c>
      <c r="D38" s="7" t="s">
        <v>164</v>
      </c>
    </row>
    <row r="41" spans="2:6" x14ac:dyDescent="0.3">
      <c r="B41" s="7" t="s">
        <v>165</v>
      </c>
      <c r="D41" s="7" t="s">
        <v>166</v>
      </c>
    </row>
    <row r="42" spans="2:6" x14ac:dyDescent="0.3">
      <c r="B42" s="5" t="s">
        <v>167</v>
      </c>
      <c r="C42" t="s">
        <v>168</v>
      </c>
      <c r="D42" s="5" t="s">
        <v>169</v>
      </c>
    </row>
    <row r="43" spans="2:6" x14ac:dyDescent="0.3">
      <c r="B43" s="5" t="s">
        <v>170</v>
      </c>
      <c r="C43">
        <v>9390</v>
      </c>
      <c r="D43" s="5" t="s">
        <v>171</v>
      </c>
    </row>
    <row r="44" spans="2:6" x14ac:dyDescent="0.3">
      <c r="B44" s="5" t="s">
        <v>172</v>
      </c>
      <c r="D44" s="5" t="s">
        <v>173</v>
      </c>
    </row>
    <row r="45" spans="2:6" x14ac:dyDescent="0.3">
      <c r="B45" s="5" t="s">
        <v>174</v>
      </c>
      <c r="C45">
        <v>903111</v>
      </c>
      <c r="D45" s="5" t="s">
        <v>175</v>
      </c>
    </row>
    <row r="46" spans="2:6" x14ac:dyDescent="0.3">
      <c r="B46" s="5" t="s">
        <v>176</v>
      </c>
    </row>
    <row r="47" spans="2:6" x14ac:dyDescent="0.3">
      <c r="B47" s="5" t="s">
        <v>177</v>
      </c>
      <c r="C47">
        <v>903839</v>
      </c>
    </row>
    <row r="48" spans="2:6" x14ac:dyDescent="0.3">
      <c r="B48" s="5" t="s">
        <v>178</v>
      </c>
      <c r="C48">
        <v>871121</v>
      </c>
    </row>
    <row r="49" spans="2:3" x14ac:dyDescent="0.3">
      <c r="B49" s="5" t="s">
        <v>179</v>
      </c>
      <c r="C49">
        <v>902210</v>
      </c>
    </row>
    <row r="50" spans="2:3" x14ac:dyDescent="0.3">
      <c r="C50">
        <v>903856</v>
      </c>
    </row>
    <row r="51" spans="2:3" x14ac:dyDescent="0.3">
      <c r="C51">
        <v>983895</v>
      </c>
    </row>
    <row r="52" spans="2:3" x14ac:dyDescent="0.3">
      <c r="C52">
        <v>803859</v>
      </c>
    </row>
    <row r="53" spans="2:3" x14ac:dyDescent="0.3">
      <c r="C53">
        <v>903864</v>
      </c>
    </row>
    <row r="54" spans="2:3" x14ac:dyDescent="0.3">
      <c r="B54" s="5" t="s">
        <v>180</v>
      </c>
    </row>
    <row r="55" spans="2:3" x14ac:dyDescent="0.3">
      <c r="B55" s="5" t="s">
        <v>181</v>
      </c>
    </row>
    <row r="56" spans="2:3" x14ac:dyDescent="0.3">
      <c r="B56" s="5" t="s">
        <v>182</v>
      </c>
    </row>
    <row r="57" spans="2:3" x14ac:dyDescent="0.3">
      <c r="B57" s="5" t="s">
        <v>183</v>
      </c>
    </row>
    <row r="58" spans="2:3" x14ac:dyDescent="0.3">
      <c r="B58" s="5" t="s">
        <v>184</v>
      </c>
    </row>
    <row r="59" spans="2:3" x14ac:dyDescent="0.3">
      <c r="B59" s="5" t="s">
        <v>185</v>
      </c>
    </row>
    <row r="60" spans="2:3" x14ac:dyDescent="0.3">
      <c r="B60" s="5" t="s">
        <v>186</v>
      </c>
    </row>
    <row r="62" spans="2:3" x14ac:dyDescent="0.3">
      <c r="B62" s="5" t="s">
        <v>187</v>
      </c>
      <c r="C62">
        <v>396501</v>
      </c>
    </row>
    <row r="63" spans="2:3" x14ac:dyDescent="0.3">
      <c r="B63" s="5" t="s">
        <v>188</v>
      </c>
      <c r="C63">
        <v>396503</v>
      </c>
    </row>
    <row r="64" spans="2:3" x14ac:dyDescent="0.3">
      <c r="B64" s="5" t="s">
        <v>189</v>
      </c>
      <c r="C64">
        <v>396504</v>
      </c>
    </row>
    <row r="65" spans="2:4" x14ac:dyDescent="0.3">
      <c r="B65" s="5" t="s">
        <v>190</v>
      </c>
      <c r="C65">
        <v>396505</v>
      </c>
    </row>
    <row r="66" spans="2:4" x14ac:dyDescent="0.3">
      <c r="B66" s="5" t="s">
        <v>191</v>
      </c>
      <c r="D66" s="5" t="s">
        <v>192</v>
      </c>
    </row>
    <row r="67" spans="2:4" x14ac:dyDescent="0.3">
      <c r="B67" s="5" t="s">
        <v>193</v>
      </c>
      <c r="D67" s="5" t="s">
        <v>192</v>
      </c>
    </row>
    <row r="68" spans="2:4" x14ac:dyDescent="0.3">
      <c r="B68" s="5" t="s">
        <v>194</v>
      </c>
      <c r="C68">
        <v>327101</v>
      </c>
    </row>
    <row r="70" spans="2:4" ht="56" x14ac:dyDescent="0.3">
      <c r="B70" s="5" t="s">
        <v>195</v>
      </c>
    </row>
    <row r="72" spans="2:4" x14ac:dyDescent="0.3">
      <c r="B72" s="7" t="s">
        <v>196</v>
      </c>
    </row>
    <row r="73" spans="2:4" ht="98" x14ac:dyDescent="0.3">
      <c r="B73" s="5" t="s">
        <v>197</v>
      </c>
      <c r="D73" s="5" t="s">
        <v>198</v>
      </c>
    </row>
    <row r="74" spans="2:4" ht="84" x14ac:dyDescent="0.3">
      <c r="B74" s="5" t="s">
        <v>199</v>
      </c>
      <c r="D74" s="5" t="s">
        <v>200</v>
      </c>
    </row>
    <row r="75" spans="2:4" ht="42" x14ac:dyDescent="0.3">
      <c r="B75" s="5" t="s">
        <v>201</v>
      </c>
      <c r="D75" s="5" t="s">
        <v>202</v>
      </c>
    </row>
    <row r="76" spans="2:4" ht="70" x14ac:dyDescent="0.3">
      <c r="B76" s="5" t="s">
        <v>203</v>
      </c>
      <c r="D76" s="5" t="s">
        <v>204</v>
      </c>
    </row>
    <row r="77" spans="2:4" ht="56" x14ac:dyDescent="0.3">
      <c r="D77" s="5" t="s">
        <v>205</v>
      </c>
    </row>
    <row r="78" spans="2:4" ht="28" x14ac:dyDescent="0.3">
      <c r="D78" s="5" t="s">
        <v>206</v>
      </c>
    </row>
    <row r="79" spans="2:4" x14ac:dyDescent="0.3">
      <c r="D79" s="5" t="s">
        <v>207</v>
      </c>
    </row>
    <row r="80" spans="2:4" ht="28" x14ac:dyDescent="0.3">
      <c r="D80" s="5" t="s">
        <v>208</v>
      </c>
    </row>
  </sheetData>
  <pageMargins left="0.7" right="0.7" top="0.75" bottom="0.75" header="0.3" footer="0.3"/>
  <pageSetup paperSize="9" orientation="portrait" r:id="rId1"/>
  <headerFooter>
    <oddFooter>&amp;R_x000D_&amp;1#&amp;"Calibri"&amp;22&amp;KFF8939 RESTRICTED</oddFoot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622213-DB3D-4C3A-824E-5D149D3BA34C}">
  <sheetPr>
    <tabColor theme="7" tint="0.79998168889431442"/>
  </sheetPr>
  <dimension ref="A1:P78"/>
  <sheetViews>
    <sheetView showGridLines="0" zoomScale="44" zoomScaleNormal="71" workbookViewId="0">
      <selection activeCell="C6" sqref="C6:E6"/>
    </sheetView>
  </sheetViews>
  <sheetFormatPr baseColWidth="10" defaultColWidth="0" defaultRowHeight="14" zeroHeight="1" x14ac:dyDescent="0.3"/>
  <cols>
    <col min="1" max="1" width="1.83203125" customWidth="1"/>
    <col min="2" max="2" width="40.33203125" customWidth="1"/>
    <col min="3" max="3" width="26.33203125" bestFit="1" customWidth="1"/>
    <col min="4" max="5" width="27.6640625" bestFit="1" customWidth="1"/>
    <col min="6" max="6" width="20.5" customWidth="1"/>
    <col min="7" max="7" width="3.6640625" customWidth="1"/>
    <col min="8" max="8" width="34" bestFit="1" customWidth="1"/>
    <col min="9" max="9" width="26.33203125" bestFit="1" customWidth="1"/>
    <col min="10" max="11" width="27.6640625" bestFit="1" customWidth="1"/>
    <col min="12" max="12" width="51.33203125" bestFit="1" customWidth="1"/>
    <col min="13" max="13" width="32.6640625" customWidth="1"/>
    <col min="14" max="14" width="1.83203125" customWidth="1"/>
    <col min="15" max="16" width="0" hidden="1" customWidth="1"/>
    <col min="17" max="16384" width="11" hidden="1"/>
  </cols>
  <sheetData>
    <row r="1" spans="2:14" x14ac:dyDescent="0.3"/>
    <row r="2" spans="2:14" x14ac:dyDescent="0.3"/>
    <row r="3" spans="2:14" x14ac:dyDescent="0.3"/>
    <row r="4" spans="2:14" x14ac:dyDescent="0.3"/>
    <row r="5" spans="2:14" x14ac:dyDescent="0.3"/>
    <row r="6" spans="2:14" ht="23" x14ac:dyDescent="0.5">
      <c r="C6" s="363" t="s">
        <v>209</v>
      </c>
      <c r="D6" s="363"/>
      <c r="E6" s="363"/>
      <c r="F6" s="54"/>
      <c r="G6" s="52"/>
      <c r="I6" s="363" t="s">
        <v>210</v>
      </c>
      <c r="J6" s="363"/>
      <c r="K6" s="363"/>
      <c r="L6" s="213" t="s">
        <v>211</v>
      </c>
      <c r="M6" s="143"/>
      <c r="N6" s="143"/>
    </row>
    <row r="7" spans="2:14" x14ac:dyDescent="0.3"/>
    <row r="8" spans="2:14" ht="36.5" thickBot="1" x14ac:dyDescent="0.55000000000000004">
      <c r="C8" s="196" t="s">
        <v>37</v>
      </c>
      <c r="D8" s="196" t="s">
        <v>38</v>
      </c>
      <c r="E8" s="196" t="s">
        <v>39</v>
      </c>
      <c r="F8" s="226">
        <f>Input!C9</f>
        <v>0.57999999999999996</v>
      </c>
      <c r="G8" s="13"/>
      <c r="I8" s="196" t="s">
        <v>37</v>
      </c>
      <c r="J8" s="196" t="s">
        <v>38</v>
      </c>
      <c r="K8" s="196" t="s">
        <v>39</v>
      </c>
      <c r="L8" s="210" t="s">
        <v>212</v>
      </c>
      <c r="M8" s="210" t="s">
        <v>88</v>
      </c>
    </row>
    <row r="9" spans="2:14" ht="18" x14ac:dyDescent="0.4">
      <c r="B9" s="361"/>
      <c r="C9" s="361"/>
      <c r="D9" s="361"/>
      <c r="E9" s="362"/>
      <c r="F9" s="13"/>
      <c r="H9" s="361"/>
      <c r="I9" s="361"/>
      <c r="J9" s="361"/>
      <c r="K9" s="361"/>
      <c r="L9" s="362"/>
      <c r="M9" s="364" t="s">
        <v>214</v>
      </c>
    </row>
    <row r="10" spans="2:14" x14ac:dyDescent="0.3">
      <c r="B10" s="15" t="s">
        <v>215</v>
      </c>
      <c r="C10" s="80">
        <f t="shared" ref="C10:C28" si="0">I10*$L10</f>
        <v>63108.141200000005</v>
      </c>
      <c r="D10" s="80">
        <f t="shared" ref="D10:D28" si="1">J10*$L10</f>
        <v>92234.975600000005</v>
      </c>
      <c r="E10" s="82">
        <f t="shared" ref="E10:E28" si="2">K10*$L10</f>
        <v>143206.93580000001</v>
      </c>
      <c r="F10" s="21"/>
      <c r="G10" s="21"/>
      <c r="H10" s="15" t="s">
        <v>215</v>
      </c>
      <c r="I10" s="15">
        <v>2.6</v>
      </c>
      <c r="J10" s="15">
        <v>3.8</v>
      </c>
      <c r="K10" s="15">
        <v>5.9</v>
      </c>
      <c r="L10" s="77">
        <v>24272.362000000001</v>
      </c>
      <c r="M10" s="364"/>
    </row>
    <row r="11" spans="2:14" x14ac:dyDescent="0.3">
      <c r="B11" s="15" t="s">
        <v>216</v>
      </c>
      <c r="C11" s="80">
        <f t="shared" si="0"/>
        <v>29824.370239999997</v>
      </c>
      <c r="D11" s="80">
        <f t="shared" si="1"/>
        <v>58583.584399999992</v>
      </c>
      <c r="E11" s="82">
        <f t="shared" si="2"/>
        <v>93733.73504</v>
      </c>
      <c r="F11" s="21"/>
      <c r="G11" s="3"/>
      <c r="H11" s="15" t="s">
        <v>216</v>
      </c>
      <c r="I11" s="15">
        <v>2.8</v>
      </c>
      <c r="J11" s="15">
        <v>5.5</v>
      </c>
      <c r="K11" s="15">
        <v>8.8000000000000007</v>
      </c>
      <c r="L11" s="77">
        <v>10651.560799999999</v>
      </c>
    </row>
    <row r="12" spans="2:14" x14ac:dyDescent="0.3">
      <c r="B12" s="15" t="s">
        <v>217</v>
      </c>
      <c r="C12" s="80">
        <f t="shared" si="0"/>
        <v>67962.613599999997</v>
      </c>
      <c r="D12" s="80">
        <f t="shared" si="1"/>
        <v>101943.9204</v>
      </c>
      <c r="E12" s="82">
        <f t="shared" si="2"/>
        <v>172333.7702</v>
      </c>
      <c r="F12" s="21"/>
      <c r="G12" s="21"/>
      <c r="H12" s="15" t="s">
        <v>217</v>
      </c>
      <c r="I12" s="15">
        <v>2.8</v>
      </c>
      <c r="J12" s="15">
        <v>4.2</v>
      </c>
      <c r="K12" s="15">
        <v>7.1</v>
      </c>
      <c r="L12" s="77">
        <v>24272.362000000001</v>
      </c>
    </row>
    <row r="13" spans="2:14" ht="14.5" thickBot="1" x14ac:dyDescent="0.35">
      <c r="B13" s="36" t="s">
        <v>218</v>
      </c>
      <c r="C13" s="94">
        <f t="shared" si="0"/>
        <v>164957.80000000002</v>
      </c>
      <c r="D13" s="94">
        <f t="shared" si="1"/>
        <v>169670.88</v>
      </c>
      <c r="E13" s="215">
        <f t="shared" si="2"/>
        <v>339341.76</v>
      </c>
      <c r="F13" s="21"/>
      <c r="G13" s="21"/>
      <c r="H13" s="36" t="s">
        <v>218</v>
      </c>
      <c r="I13" s="36">
        <v>3.5</v>
      </c>
      <c r="J13" s="36">
        <v>3.6</v>
      </c>
      <c r="K13" s="36">
        <v>7.2</v>
      </c>
      <c r="L13" s="221">
        <v>47130.8</v>
      </c>
    </row>
    <row r="14" spans="2:14" ht="18" x14ac:dyDescent="0.4">
      <c r="B14" s="361"/>
      <c r="C14" s="361">
        <f t="shared" si="0"/>
        <v>0</v>
      </c>
      <c r="D14" s="361">
        <f t="shared" si="1"/>
        <v>0</v>
      </c>
      <c r="E14" s="362">
        <f t="shared" si="2"/>
        <v>0</v>
      </c>
      <c r="F14" s="21"/>
      <c r="G14" s="21"/>
      <c r="H14" s="361"/>
      <c r="I14" s="361"/>
      <c r="J14" s="361"/>
      <c r="K14" s="361"/>
      <c r="L14" s="362"/>
    </row>
    <row r="15" spans="2:14" x14ac:dyDescent="0.3">
      <c r="B15" s="15" t="s">
        <v>121</v>
      </c>
      <c r="C15" s="80">
        <f t="shared" si="0"/>
        <v>66218.774000000005</v>
      </c>
      <c r="D15" s="80">
        <f t="shared" si="1"/>
        <v>92706.28360000001</v>
      </c>
      <c r="E15" s="82">
        <f t="shared" si="2"/>
        <v>105950.0384</v>
      </c>
      <c r="F15" s="21"/>
      <c r="G15" s="84" t="s">
        <v>220</v>
      </c>
      <c r="H15" s="15" t="s">
        <v>121</v>
      </c>
      <c r="I15" s="15">
        <v>2.5</v>
      </c>
      <c r="J15" s="15">
        <v>3.5</v>
      </c>
      <c r="K15" s="15">
        <v>4</v>
      </c>
      <c r="L15" s="77">
        <v>26487.509600000001</v>
      </c>
    </row>
    <row r="16" spans="2:14" x14ac:dyDescent="0.3">
      <c r="B16" s="15" t="s">
        <v>221</v>
      </c>
      <c r="C16" s="80">
        <f t="shared" si="0"/>
        <v>185271.17480000001</v>
      </c>
      <c r="D16" s="80">
        <f t="shared" si="1"/>
        <v>185271.17480000001</v>
      </c>
      <c r="E16" s="82">
        <f t="shared" si="2"/>
        <v>185271.17480000001</v>
      </c>
      <c r="F16" s="21"/>
      <c r="G16" s="21"/>
      <c r="H16" s="15" t="s">
        <v>221</v>
      </c>
      <c r="I16" s="15">
        <v>1</v>
      </c>
      <c r="J16" s="15">
        <v>1</v>
      </c>
      <c r="K16" s="15">
        <v>1</v>
      </c>
      <c r="L16" s="77">
        <v>185271.17480000001</v>
      </c>
      <c r="M16" s="1"/>
    </row>
    <row r="17" spans="2:12" x14ac:dyDescent="0.3">
      <c r="B17" s="15" t="s">
        <v>222</v>
      </c>
      <c r="C17" s="80">
        <f t="shared" si="0"/>
        <v>444207.79000000004</v>
      </c>
      <c r="D17" s="80">
        <f t="shared" si="1"/>
        <v>621890.90600000008</v>
      </c>
      <c r="E17" s="82">
        <f t="shared" si="2"/>
        <v>710732.46400000004</v>
      </c>
      <c r="F17" s="21"/>
      <c r="G17" s="21"/>
      <c r="H17" s="15" t="s">
        <v>222</v>
      </c>
      <c r="I17" s="15">
        <v>2.5</v>
      </c>
      <c r="J17" s="15">
        <v>3.5</v>
      </c>
      <c r="K17" s="15">
        <v>4</v>
      </c>
      <c r="L17" s="77">
        <v>177683.11600000001</v>
      </c>
    </row>
    <row r="18" spans="2:12" x14ac:dyDescent="0.3">
      <c r="B18" s="15" t="s">
        <v>128</v>
      </c>
      <c r="C18" s="80">
        <f t="shared" si="0"/>
        <v>122681.4724</v>
      </c>
      <c r="D18" s="80">
        <f t="shared" si="1"/>
        <v>122681.4724</v>
      </c>
      <c r="E18" s="82">
        <f t="shared" si="2"/>
        <v>245362.9448</v>
      </c>
      <c r="F18" s="21"/>
      <c r="G18" s="21"/>
      <c r="H18" s="15" t="s">
        <v>128</v>
      </c>
      <c r="I18" s="15">
        <v>1</v>
      </c>
      <c r="J18" s="15">
        <v>1</v>
      </c>
      <c r="K18" s="15">
        <v>2</v>
      </c>
      <c r="L18" s="77">
        <v>122681.4724</v>
      </c>
    </row>
    <row r="19" spans="2:12" x14ac:dyDescent="0.3">
      <c r="B19" s="15" t="s">
        <v>223</v>
      </c>
      <c r="C19" s="80">
        <f t="shared" si="0"/>
        <v>53493.457999999999</v>
      </c>
      <c r="D19" s="80">
        <f t="shared" si="1"/>
        <v>74890.841199999995</v>
      </c>
      <c r="E19" s="82">
        <f t="shared" si="2"/>
        <v>85589.532800000001</v>
      </c>
      <c r="F19" s="21"/>
      <c r="G19" s="21"/>
      <c r="H19" s="15" t="s">
        <v>223</v>
      </c>
      <c r="I19" s="15">
        <v>2.5</v>
      </c>
      <c r="J19" s="15">
        <v>3.5</v>
      </c>
      <c r="K19" s="15">
        <v>4</v>
      </c>
      <c r="L19" s="77">
        <v>21397.3832</v>
      </c>
    </row>
    <row r="20" spans="2:12" x14ac:dyDescent="0.3">
      <c r="B20" s="24" t="s">
        <v>134</v>
      </c>
      <c r="C20" s="80">
        <f t="shared" si="0"/>
        <v>25097.150999999998</v>
      </c>
      <c r="D20" s="80">
        <f t="shared" si="1"/>
        <v>35136.011399999996</v>
      </c>
      <c r="E20" s="82">
        <f t="shared" si="2"/>
        <v>40155.441599999998</v>
      </c>
      <c r="F20" s="21"/>
      <c r="G20" s="21"/>
      <c r="H20" s="24" t="s">
        <v>134</v>
      </c>
      <c r="I20" s="25">
        <v>2.5</v>
      </c>
      <c r="J20" s="25">
        <v>3.5</v>
      </c>
      <c r="K20" s="25">
        <v>4</v>
      </c>
      <c r="L20" s="78">
        <v>10038.8604</v>
      </c>
    </row>
    <row r="21" spans="2:12" x14ac:dyDescent="0.3">
      <c r="B21" s="26" t="s">
        <v>224</v>
      </c>
      <c r="C21" s="80">
        <f t="shared" si="0"/>
        <v>25097.150999999998</v>
      </c>
      <c r="D21" s="80">
        <f t="shared" si="1"/>
        <v>35136.011399999996</v>
      </c>
      <c r="E21" s="82">
        <f t="shared" si="2"/>
        <v>40155.441599999998</v>
      </c>
      <c r="F21" s="21"/>
      <c r="G21" s="21"/>
      <c r="H21" s="26" t="s">
        <v>224</v>
      </c>
      <c r="I21" s="25">
        <v>2.5</v>
      </c>
      <c r="J21" s="25">
        <v>3.5</v>
      </c>
      <c r="K21" s="25">
        <v>4</v>
      </c>
      <c r="L21" s="77">
        <v>10038.8604</v>
      </c>
    </row>
    <row r="22" spans="2:12" x14ac:dyDescent="0.3">
      <c r="B22" s="26" t="s">
        <v>225</v>
      </c>
      <c r="C22" s="80">
        <f t="shared" si="0"/>
        <v>28867.615000000002</v>
      </c>
      <c r="D22" s="80">
        <f t="shared" si="1"/>
        <v>40414.661</v>
      </c>
      <c r="E22" s="82">
        <f t="shared" si="2"/>
        <v>46188.184000000001</v>
      </c>
      <c r="F22" s="21"/>
      <c r="G22" s="21"/>
      <c r="H22" s="26" t="s">
        <v>225</v>
      </c>
      <c r="I22" s="25">
        <v>2.5</v>
      </c>
      <c r="J22" s="25">
        <v>3.5</v>
      </c>
      <c r="K22" s="25">
        <v>4</v>
      </c>
      <c r="L22" s="77">
        <v>11547.046</v>
      </c>
    </row>
    <row r="23" spans="2:12" x14ac:dyDescent="0.3">
      <c r="B23" s="26" t="s">
        <v>226</v>
      </c>
      <c r="C23" s="80">
        <f t="shared" si="0"/>
        <v>40650.315000000002</v>
      </c>
      <c r="D23" s="80">
        <f t="shared" si="1"/>
        <v>56910.440999999999</v>
      </c>
      <c r="E23" s="82">
        <f t="shared" si="2"/>
        <v>65040.504000000001</v>
      </c>
      <c r="F23" s="21"/>
      <c r="G23" s="21"/>
      <c r="H23" s="26" t="s">
        <v>226</v>
      </c>
      <c r="I23" s="25">
        <v>2.5</v>
      </c>
      <c r="J23" s="25">
        <v>3.5</v>
      </c>
      <c r="K23" s="25">
        <v>4</v>
      </c>
      <c r="L23" s="77">
        <v>16260.126</v>
      </c>
    </row>
    <row r="24" spans="2:12" ht="28" x14ac:dyDescent="0.3">
      <c r="B24" s="26" t="s">
        <v>227</v>
      </c>
      <c r="C24" s="80">
        <f t="shared" si="0"/>
        <v>22033.649000000001</v>
      </c>
      <c r="D24" s="80">
        <f t="shared" si="1"/>
        <v>30847.1086</v>
      </c>
      <c r="E24" s="82">
        <f t="shared" si="2"/>
        <v>35253.838400000001</v>
      </c>
      <c r="F24" s="21"/>
      <c r="G24" s="21"/>
      <c r="H24" s="26" t="s">
        <v>227</v>
      </c>
      <c r="I24" s="25">
        <v>2.5</v>
      </c>
      <c r="J24" s="25">
        <v>3.5</v>
      </c>
      <c r="K24" s="25">
        <v>4</v>
      </c>
      <c r="L24" s="77">
        <v>8813.4596000000001</v>
      </c>
    </row>
    <row r="25" spans="2:12" ht="28" x14ac:dyDescent="0.3">
      <c r="B25" s="26" t="s">
        <v>228</v>
      </c>
      <c r="C25" s="80">
        <f t="shared" si="0"/>
        <v>22033.649000000001</v>
      </c>
      <c r="D25" s="80">
        <f t="shared" si="1"/>
        <v>30847.1086</v>
      </c>
      <c r="E25" s="82">
        <f t="shared" si="2"/>
        <v>35253.838400000001</v>
      </c>
      <c r="F25" s="21"/>
      <c r="G25" s="21"/>
      <c r="H25" s="224" t="s">
        <v>228</v>
      </c>
      <c r="I25" s="25">
        <v>2.5</v>
      </c>
      <c r="J25" s="25">
        <v>3.5</v>
      </c>
      <c r="K25" s="25">
        <v>4</v>
      </c>
      <c r="L25" s="77">
        <v>8813.4596000000001</v>
      </c>
    </row>
    <row r="26" spans="2:12" x14ac:dyDescent="0.3">
      <c r="B26" s="26" t="s">
        <v>229</v>
      </c>
      <c r="C26" s="80">
        <f t="shared" si="0"/>
        <v>0</v>
      </c>
      <c r="D26" s="80">
        <f t="shared" si="1"/>
        <v>0</v>
      </c>
      <c r="E26" s="82">
        <f t="shared" si="2"/>
        <v>0</v>
      </c>
      <c r="F26" s="21"/>
      <c r="G26" s="21"/>
      <c r="H26" s="26" t="s">
        <v>229</v>
      </c>
      <c r="I26" s="25">
        <v>2.5</v>
      </c>
      <c r="J26" s="25">
        <v>3.5</v>
      </c>
      <c r="K26" s="25">
        <v>4</v>
      </c>
      <c r="L26" s="77">
        <v>0</v>
      </c>
    </row>
    <row r="27" spans="2:12" x14ac:dyDescent="0.3">
      <c r="B27" s="26" t="s">
        <v>230</v>
      </c>
      <c r="C27" s="80">
        <f t="shared" si="0"/>
        <v>24390.188999999995</v>
      </c>
      <c r="D27" s="80">
        <f t="shared" si="1"/>
        <v>34146.264599999995</v>
      </c>
      <c r="E27" s="82">
        <f t="shared" si="2"/>
        <v>39024.302399999993</v>
      </c>
      <c r="F27" s="21"/>
      <c r="G27" s="21"/>
      <c r="H27" s="26" t="s">
        <v>230</v>
      </c>
      <c r="I27" s="25">
        <v>2.5</v>
      </c>
      <c r="J27" s="25">
        <v>3.5</v>
      </c>
      <c r="K27" s="25">
        <v>4</v>
      </c>
      <c r="L27" s="77">
        <v>9756.0755999999983</v>
      </c>
    </row>
    <row r="28" spans="2:12" ht="14.5" thickBot="1" x14ac:dyDescent="0.35">
      <c r="B28" s="216" t="s">
        <v>143</v>
      </c>
      <c r="C28" s="94">
        <f t="shared" si="0"/>
        <v>176740.5</v>
      </c>
      <c r="D28" s="94">
        <f t="shared" si="1"/>
        <v>247436.69999999998</v>
      </c>
      <c r="E28" s="215">
        <f t="shared" si="2"/>
        <v>282784.8</v>
      </c>
      <c r="F28" s="21"/>
      <c r="G28" s="21"/>
      <c r="H28" s="216" t="s">
        <v>143</v>
      </c>
      <c r="I28" s="222">
        <v>2.5</v>
      </c>
      <c r="J28" s="222">
        <v>3.5</v>
      </c>
      <c r="K28" s="222">
        <v>4</v>
      </c>
      <c r="L28" s="221">
        <v>70696.2</v>
      </c>
    </row>
    <row r="29" spans="2:12" ht="18" x14ac:dyDescent="0.4">
      <c r="B29" s="361"/>
      <c r="C29" s="361"/>
      <c r="D29" s="361"/>
      <c r="E29" s="362"/>
      <c r="F29" s="21"/>
      <c r="G29" s="21"/>
      <c r="H29" s="361"/>
      <c r="I29" s="361"/>
      <c r="J29" s="361"/>
      <c r="K29" s="361"/>
      <c r="L29" s="362"/>
    </row>
    <row r="30" spans="2:12" x14ac:dyDescent="0.3">
      <c r="B30" s="26" t="s">
        <v>232</v>
      </c>
      <c r="C30" s="80">
        <f t="shared" ref="C30:E32" si="3">I30*$L30</f>
        <v>46565.2304</v>
      </c>
      <c r="D30" s="80">
        <f t="shared" si="3"/>
        <v>46565.2304</v>
      </c>
      <c r="E30" s="82">
        <f t="shared" si="3"/>
        <v>46565.2304</v>
      </c>
      <c r="F30" s="21"/>
      <c r="G30" s="21"/>
      <c r="H30" s="26" t="s">
        <v>232</v>
      </c>
      <c r="I30" s="25">
        <v>1</v>
      </c>
      <c r="J30" s="25">
        <v>1</v>
      </c>
      <c r="K30" s="25">
        <v>1</v>
      </c>
      <c r="L30" s="77">
        <v>46565.2304</v>
      </c>
    </row>
    <row r="31" spans="2:12" x14ac:dyDescent="0.3">
      <c r="B31" s="26" t="s">
        <v>233</v>
      </c>
      <c r="C31" s="80">
        <f t="shared" si="3"/>
        <v>76163.372799999997</v>
      </c>
      <c r="D31" s="80">
        <f t="shared" si="3"/>
        <v>76163.372799999997</v>
      </c>
      <c r="E31" s="82">
        <f t="shared" si="3"/>
        <v>76163.372799999997</v>
      </c>
      <c r="F31" s="21"/>
      <c r="G31" s="21"/>
      <c r="H31" s="26" t="s">
        <v>233</v>
      </c>
      <c r="I31" s="25">
        <v>1</v>
      </c>
      <c r="J31" s="25">
        <v>1</v>
      </c>
      <c r="K31" s="25">
        <v>1</v>
      </c>
      <c r="L31" s="77">
        <v>76163.372799999997</v>
      </c>
    </row>
    <row r="32" spans="2:12" ht="14.5" thickBot="1" x14ac:dyDescent="0.35">
      <c r="B32" s="36" t="s">
        <v>234</v>
      </c>
      <c r="C32" s="94">
        <f t="shared" si="3"/>
        <v>24649.4084</v>
      </c>
      <c r="D32" s="94">
        <f t="shared" si="3"/>
        <v>24649.4084</v>
      </c>
      <c r="E32" s="215">
        <f t="shared" si="3"/>
        <v>49298.816800000001</v>
      </c>
      <c r="F32" s="21"/>
      <c r="G32" s="21"/>
      <c r="H32" s="36" t="s">
        <v>234</v>
      </c>
      <c r="I32" s="36">
        <v>1</v>
      </c>
      <c r="J32" s="36">
        <v>1</v>
      </c>
      <c r="K32" s="36">
        <v>2</v>
      </c>
      <c r="L32" s="101">
        <v>24649.4084</v>
      </c>
    </row>
    <row r="33" spans="2:13" ht="18" x14ac:dyDescent="0.4">
      <c r="B33" s="361"/>
      <c r="C33" s="361"/>
      <c r="D33" s="361"/>
      <c r="E33" s="362"/>
      <c r="F33" s="21"/>
      <c r="G33" s="21"/>
      <c r="H33" s="361"/>
      <c r="I33" s="361"/>
      <c r="J33" s="361"/>
      <c r="K33" s="361"/>
      <c r="L33" s="362"/>
    </row>
    <row r="34" spans="2:13" ht="17" x14ac:dyDescent="0.6">
      <c r="B34" s="15" t="s">
        <v>236</v>
      </c>
      <c r="C34" s="80">
        <f t="shared" ref="C34:E38" si="4">I34*$L34</f>
        <v>939929.54440000001</v>
      </c>
      <c r="D34" s="80">
        <f t="shared" si="4"/>
        <v>939929.54440000001</v>
      </c>
      <c r="E34" s="82">
        <f t="shared" si="4"/>
        <v>939929.54440000001</v>
      </c>
      <c r="F34" s="228"/>
      <c r="G34" s="21"/>
      <c r="H34" s="15" t="s">
        <v>236</v>
      </c>
      <c r="I34" s="15">
        <v>1</v>
      </c>
      <c r="J34" s="15">
        <v>1</v>
      </c>
      <c r="K34" s="15">
        <v>1</v>
      </c>
      <c r="L34" s="77">
        <v>939929.54440000001</v>
      </c>
    </row>
    <row r="35" spans="2:13" x14ac:dyDescent="0.3">
      <c r="B35" s="15" t="s">
        <v>237</v>
      </c>
      <c r="C35" s="80">
        <f t="shared" si="4"/>
        <v>208577.25</v>
      </c>
      <c r="D35" s="80">
        <f t="shared" si="4"/>
        <v>208577.25</v>
      </c>
      <c r="E35" s="82">
        <f t="shared" si="4"/>
        <v>208577.25</v>
      </c>
      <c r="F35" s="21"/>
      <c r="G35" s="21"/>
      <c r="H35" s="15" t="s">
        <v>237</v>
      </c>
      <c r="I35" s="15">
        <v>1</v>
      </c>
      <c r="J35" s="15">
        <v>1</v>
      </c>
      <c r="K35" s="15">
        <v>1</v>
      </c>
      <c r="L35" s="77">
        <f>156825*1.33</f>
        <v>208577.25</v>
      </c>
    </row>
    <row r="36" spans="2:13" x14ac:dyDescent="0.3">
      <c r="B36" s="15" t="s">
        <v>238</v>
      </c>
      <c r="C36" s="80">
        <f t="shared" si="4"/>
        <v>27477.800000000003</v>
      </c>
      <c r="D36" s="80">
        <f t="shared" si="4"/>
        <v>27477.800000000003</v>
      </c>
      <c r="E36" s="82">
        <f t="shared" si="4"/>
        <v>54955.600000000006</v>
      </c>
      <c r="F36" s="21"/>
      <c r="G36" s="21"/>
      <c r="H36" s="15" t="s">
        <v>238</v>
      </c>
      <c r="I36" s="15">
        <v>1</v>
      </c>
      <c r="J36" s="15">
        <v>1</v>
      </c>
      <c r="K36" s="15">
        <v>2</v>
      </c>
      <c r="L36" s="77">
        <f>20660*1.33</f>
        <v>27477.800000000003</v>
      </c>
    </row>
    <row r="37" spans="2:13" x14ac:dyDescent="0.3">
      <c r="B37" s="15" t="s">
        <v>239</v>
      </c>
      <c r="C37" s="80">
        <f t="shared" si="4"/>
        <v>92102.5</v>
      </c>
      <c r="D37" s="80">
        <f t="shared" si="4"/>
        <v>92102.5</v>
      </c>
      <c r="E37" s="82">
        <f t="shared" si="4"/>
        <v>184205</v>
      </c>
      <c r="F37" s="21"/>
      <c r="G37" s="21"/>
      <c r="H37" s="15" t="s">
        <v>239</v>
      </c>
      <c r="I37" s="27">
        <v>1</v>
      </c>
      <c r="J37" s="27">
        <v>1</v>
      </c>
      <c r="K37" s="27">
        <v>2</v>
      </c>
      <c r="L37" s="77">
        <f>69250*1.33</f>
        <v>92102.5</v>
      </c>
    </row>
    <row r="38" spans="2:13" ht="14.5" thickBot="1" x14ac:dyDescent="0.35">
      <c r="B38" s="217" t="s">
        <v>240</v>
      </c>
      <c r="C38" s="218">
        <f t="shared" si="4"/>
        <v>115211.25</v>
      </c>
      <c r="D38" s="218">
        <f t="shared" si="4"/>
        <v>115211.25</v>
      </c>
      <c r="E38" s="219">
        <f t="shared" si="4"/>
        <v>230422.5</v>
      </c>
      <c r="F38" s="21"/>
      <c r="G38" s="21"/>
      <c r="H38" s="36" t="s">
        <v>240</v>
      </c>
      <c r="I38" s="223">
        <v>1</v>
      </c>
      <c r="J38" s="223">
        <v>1</v>
      </c>
      <c r="K38" s="223">
        <v>2</v>
      </c>
      <c r="L38" s="101">
        <f>86625*1.33</f>
        <v>115211.25</v>
      </c>
    </row>
    <row r="39" spans="2:13" ht="23" customHeight="1" thickBot="1" x14ac:dyDescent="0.55000000000000004">
      <c r="B39" s="227"/>
      <c r="C39" s="95">
        <f>SUM(C7:C38)</f>
        <v>3093312.1692400002</v>
      </c>
      <c r="D39" s="95">
        <f>SUM(D7:D38)</f>
        <v>3561424.7009999999</v>
      </c>
      <c r="E39" s="95">
        <f>SUM(E7:E38)</f>
        <v>4455496.0206399988</v>
      </c>
      <c r="F39" s="220">
        <f>SUM(C39:E39)</f>
        <v>11110232.89088</v>
      </c>
      <c r="G39" s="21"/>
      <c r="L39" s="21"/>
      <c r="M39" s="79"/>
    </row>
    <row r="40" spans="2:13" x14ac:dyDescent="0.3"/>
    <row r="41" spans="2:13" ht="23" x14ac:dyDescent="0.5">
      <c r="C41" s="363" t="s">
        <v>241</v>
      </c>
      <c r="D41" s="363"/>
      <c r="E41" s="363"/>
      <c r="F41" s="55"/>
      <c r="G41" s="52"/>
      <c r="I41" s="363" t="s">
        <v>242</v>
      </c>
      <c r="J41" s="363"/>
      <c r="K41" s="363"/>
      <c r="L41" s="213" t="s">
        <v>211</v>
      </c>
    </row>
    <row r="42" spans="2:13" x14ac:dyDescent="0.3"/>
    <row r="43" spans="2:13" ht="36.5" thickBot="1" x14ac:dyDescent="0.45">
      <c r="C43" s="91" t="s">
        <v>37</v>
      </c>
      <c r="D43" s="91" t="s">
        <v>38</v>
      </c>
      <c r="E43" s="91" t="s">
        <v>39</v>
      </c>
      <c r="F43" s="225">
        <f>Input!D9</f>
        <v>0.42</v>
      </c>
      <c r="G43" s="13"/>
      <c r="I43" s="13" t="s">
        <v>243</v>
      </c>
      <c r="J43" s="13" t="s">
        <v>244</v>
      </c>
      <c r="K43" s="13" t="s">
        <v>245</v>
      </c>
      <c r="L43" s="13" t="s">
        <v>246</v>
      </c>
    </row>
    <row r="44" spans="2:13" ht="18" x14ac:dyDescent="0.4">
      <c r="B44" s="361"/>
      <c r="C44" s="361"/>
      <c r="D44" s="361"/>
      <c r="E44" s="362"/>
      <c r="H44" s="361"/>
      <c r="I44" s="361"/>
      <c r="J44" s="361"/>
      <c r="K44" s="361"/>
      <c r="L44" s="362"/>
    </row>
    <row r="45" spans="2:13" x14ac:dyDescent="0.3">
      <c r="B45" s="15" t="s">
        <v>215</v>
      </c>
      <c r="C45" s="80">
        <f t="shared" ref="C45:C63" si="5">I45*$L45</f>
        <v>63108.141200000005</v>
      </c>
      <c r="D45" s="80">
        <f t="shared" ref="D45:D63" si="6">J45*$L45</f>
        <v>92234.975600000005</v>
      </c>
      <c r="E45" s="82">
        <f t="shared" ref="E45:E63" si="7">K45*$L45</f>
        <v>143206.93580000001</v>
      </c>
      <c r="F45" s="21"/>
      <c r="G45" s="21"/>
      <c r="H45" s="15" t="s">
        <v>215</v>
      </c>
      <c r="I45" s="15">
        <v>2.6</v>
      </c>
      <c r="J45" s="15">
        <v>3.8</v>
      </c>
      <c r="K45" s="15">
        <v>5.9</v>
      </c>
      <c r="L45" s="77">
        <v>24272.362000000001</v>
      </c>
    </row>
    <row r="46" spans="2:13" x14ac:dyDescent="0.3">
      <c r="B46" s="15" t="s">
        <v>247</v>
      </c>
      <c r="C46" s="80">
        <f t="shared" si="5"/>
        <v>29824.370239999997</v>
      </c>
      <c r="D46" s="80">
        <f t="shared" si="6"/>
        <v>58583.584399999992</v>
      </c>
      <c r="E46" s="82">
        <f t="shared" si="7"/>
        <v>93733.73504</v>
      </c>
      <c r="F46" s="21"/>
      <c r="G46" s="3"/>
      <c r="H46" s="15" t="s">
        <v>247</v>
      </c>
      <c r="I46" s="15">
        <v>2.8</v>
      </c>
      <c r="J46" s="15">
        <v>5.5</v>
      </c>
      <c r="K46" s="15">
        <v>8.8000000000000007</v>
      </c>
      <c r="L46" s="77">
        <v>10651.560799999999</v>
      </c>
    </row>
    <row r="47" spans="2:13" x14ac:dyDescent="0.3">
      <c r="B47" s="15" t="s">
        <v>217</v>
      </c>
      <c r="C47" s="80">
        <f t="shared" si="5"/>
        <v>67962.613599999997</v>
      </c>
      <c r="D47" s="80">
        <f t="shared" si="6"/>
        <v>101943.9204</v>
      </c>
      <c r="E47" s="82">
        <f t="shared" si="7"/>
        <v>172333.7702</v>
      </c>
      <c r="F47" s="21"/>
      <c r="G47" s="21"/>
      <c r="H47" s="15" t="s">
        <v>217</v>
      </c>
      <c r="I47" s="15">
        <v>2.8</v>
      </c>
      <c r="J47" s="15">
        <v>4.2</v>
      </c>
      <c r="K47" s="15">
        <v>7.1</v>
      </c>
      <c r="L47" s="77">
        <v>24272.362000000001</v>
      </c>
    </row>
    <row r="48" spans="2:13" ht="14.5" thickBot="1" x14ac:dyDescent="0.35">
      <c r="B48" s="36" t="s">
        <v>218</v>
      </c>
      <c r="C48" s="94">
        <f t="shared" si="5"/>
        <v>164957.80000000002</v>
      </c>
      <c r="D48" s="94">
        <f t="shared" si="6"/>
        <v>169670.88</v>
      </c>
      <c r="E48" s="215">
        <f t="shared" si="7"/>
        <v>339341.76</v>
      </c>
      <c r="F48" s="21"/>
      <c r="G48" s="21"/>
      <c r="H48" s="36" t="s">
        <v>218</v>
      </c>
      <c r="I48" s="36">
        <v>3.5</v>
      </c>
      <c r="J48" s="36">
        <v>3.6</v>
      </c>
      <c r="K48" s="36">
        <v>7.2</v>
      </c>
      <c r="L48" s="221">
        <v>47130.8</v>
      </c>
    </row>
    <row r="49" spans="2:12" ht="18" x14ac:dyDescent="0.4">
      <c r="B49" s="361"/>
      <c r="C49" s="361">
        <f t="shared" si="5"/>
        <v>0</v>
      </c>
      <c r="D49" s="361">
        <f t="shared" si="6"/>
        <v>0</v>
      </c>
      <c r="E49" s="362">
        <f t="shared" si="7"/>
        <v>0</v>
      </c>
      <c r="F49" s="21"/>
      <c r="G49" s="21"/>
      <c r="H49" s="361"/>
      <c r="I49" s="361"/>
      <c r="J49" s="361"/>
      <c r="K49" s="361"/>
      <c r="L49" s="362">
        <v>0</v>
      </c>
    </row>
    <row r="50" spans="2:12" x14ac:dyDescent="0.3">
      <c r="B50" s="15" t="s">
        <v>121</v>
      </c>
      <c r="C50" s="80">
        <f t="shared" si="5"/>
        <v>66218.774000000005</v>
      </c>
      <c r="D50" s="80">
        <f t="shared" si="6"/>
        <v>92706.28360000001</v>
      </c>
      <c r="E50" s="82">
        <f t="shared" si="7"/>
        <v>105950.0384</v>
      </c>
      <c r="F50" s="21"/>
      <c r="G50" s="21"/>
      <c r="H50" s="15" t="s">
        <v>121</v>
      </c>
      <c r="I50" s="15">
        <v>2.5</v>
      </c>
      <c r="J50" s="15">
        <v>3.5</v>
      </c>
      <c r="K50" s="15">
        <v>4</v>
      </c>
      <c r="L50" s="77">
        <v>26487.509600000001</v>
      </c>
    </row>
    <row r="51" spans="2:12" x14ac:dyDescent="0.3">
      <c r="B51" s="15" t="s">
        <v>221</v>
      </c>
      <c r="C51" s="80">
        <f t="shared" si="5"/>
        <v>185271.17480000001</v>
      </c>
      <c r="D51" s="80">
        <f t="shared" si="6"/>
        <v>185271.17480000001</v>
      </c>
      <c r="E51" s="82">
        <f t="shared" si="7"/>
        <v>185271.17480000001</v>
      </c>
      <c r="F51" s="21"/>
      <c r="G51" s="21"/>
      <c r="H51" s="15" t="s">
        <v>221</v>
      </c>
      <c r="I51" s="15">
        <v>1</v>
      </c>
      <c r="J51" s="15">
        <v>1</v>
      </c>
      <c r="K51" s="15">
        <v>1</v>
      </c>
      <c r="L51" s="77">
        <v>185271.17480000001</v>
      </c>
    </row>
    <row r="52" spans="2:12" x14ac:dyDescent="0.3">
      <c r="B52" s="15" t="s">
        <v>222</v>
      </c>
      <c r="C52" s="80">
        <f t="shared" si="5"/>
        <v>444207.79000000004</v>
      </c>
      <c r="D52" s="80">
        <f t="shared" si="6"/>
        <v>621890.90600000008</v>
      </c>
      <c r="E52" s="82">
        <f t="shared" si="7"/>
        <v>710732.46400000004</v>
      </c>
      <c r="F52" s="21"/>
      <c r="G52" s="21"/>
      <c r="H52" s="15" t="s">
        <v>222</v>
      </c>
      <c r="I52" s="15">
        <v>2.5</v>
      </c>
      <c r="J52" s="15">
        <v>3.5</v>
      </c>
      <c r="K52" s="15">
        <v>4</v>
      </c>
      <c r="L52" s="77">
        <v>177683.11600000001</v>
      </c>
    </row>
    <row r="53" spans="2:12" x14ac:dyDescent="0.3">
      <c r="B53" s="15" t="s">
        <v>128</v>
      </c>
      <c r="C53" s="80">
        <f t="shared" si="5"/>
        <v>122681.4724</v>
      </c>
      <c r="D53" s="80">
        <f t="shared" si="6"/>
        <v>122681.4724</v>
      </c>
      <c r="E53" s="82">
        <f t="shared" si="7"/>
        <v>245362.9448</v>
      </c>
      <c r="F53" s="21"/>
      <c r="G53" s="21"/>
      <c r="H53" s="15" t="s">
        <v>128</v>
      </c>
      <c r="I53" s="15">
        <v>1</v>
      </c>
      <c r="J53" s="15">
        <v>1</v>
      </c>
      <c r="K53" s="15">
        <v>2</v>
      </c>
      <c r="L53" s="77">
        <v>122681.4724</v>
      </c>
    </row>
    <row r="54" spans="2:12" x14ac:dyDescent="0.3">
      <c r="B54" s="15" t="s">
        <v>223</v>
      </c>
      <c r="C54" s="80">
        <f t="shared" si="5"/>
        <v>53493.457999999999</v>
      </c>
      <c r="D54" s="80">
        <f t="shared" si="6"/>
        <v>74890.841199999995</v>
      </c>
      <c r="E54" s="82">
        <f t="shared" si="7"/>
        <v>85589.532800000001</v>
      </c>
      <c r="F54" s="21"/>
      <c r="G54" s="21"/>
      <c r="H54" s="15" t="s">
        <v>223</v>
      </c>
      <c r="I54" s="15">
        <v>2.5</v>
      </c>
      <c r="J54" s="15">
        <v>3.5</v>
      </c>
      <c r="K54" s="15">
        <v>4</v>
      </c>
      <c r="L54" s="77">
        <v>21397.3832</v>
      </c>
    </row>
    <row r="55" spans="2:12" x14ac:dyDescent="0.3">
      <c r="B55" s="24" t="s">
        <v>134</v>
      </c>
      <c r="C55" s="80">
        <f t="shared" si="5"/>
        <v>25097.150999999998</v>
      </c>
      <c r="D55" s="80">
        <f t="shared" si="6"/>
        <v>35136.011399999996</v>
      </c>
      <c r="E55" s="82">
        <f t="shared" si="7"/>
        <v>40155.441599999998</v>
      </c>
      <c r="F55" s="21"/>
      <c r="G55" s="21"/>
      <c r="H55" s="24" t="s">
        <v>134</v>
      </c>
      <c r="I55" s="25">
        <v>2.5</v>
      </c>
      <c r="J55" s="25">
        <v>3.5</v>
      </c>
      <c r="K55" s="25">
        <v>4</v>
      </c>
      <c r="L55" s="78">
        <v>10038.8604</v>
      </c>
    </row>
    <row r="56" spans="2:12" x14ac:dyDescent="0.3">
      <c r="B56" s="26" t="s">
        <v>224</v>
      </c>
      <c r="C56" s="80">
        <f t="shared" si="5"/>
        <v>25097.150999999998</v>
      </c>
      <c r="D56" s="80">
        <f t="shared" si="6"/>
        <v>35136.011399999996</v>
      </c>
      <c r="E56" s="82">
        <f t="shared" si="7"/>
        <v>40155.441599999998</v>
      </c>
      <c r="F56" s="21"/>
      <c r="G56" s="21"/>
      <c r="H56" s="26" t="s">
        <v>224</v>
      </c>
      <c r="I56" s="25">
        <v>2.5</v>
      </c>
      <c r="J56" s="25">
        <v>3.5</v>
      </c>
      <c r="K56" s="25">
        <v>4</v>
      </c>
      <c r="L56" s="77">
        <v>10038.8604</v>
      </c>
    </row>
    <row r="57" spans="2:12" x14ac:dyDescent="0.3">
      <c r="B57" s="26" t="s">
        <v>225</v>
      </c>
      <c r="C57" s="80">
        <f t="shared" si="5"/>
        <v>28867.615000000002</v>
      </c>
      <c r="D57" s="80">
        <f t="shared" si="6"/>
        <v>40414.661</v>
      </c>
      <c r="E57" s="82">
        <f t="shared" si="7"/>
        <v>46188.184000000001</v>
      </c>
      <c r="F57" s="21"/>
      <c r="G57" s="21"/>
      <c r="H57" s="26" t="s">
        <v>225</v>
      </c>
      <c r="I57" s="25">
        <v>2.5</v>
      </c>
      <c r="J57" s="25">
        <v>3.5</v>
      </c>
      <c r="K57" s="25">
        <v>4</v>
      </c>
      <c r="L57" s="77">
        <v>11547.046</v>
      </c>
    </row>
    <row r="58" spans="2:12" x14ac:dyDescent="0.3">
      <c r="B58" s="26" t="s">
        <v>226</v>
      </c>
      <c r="C58" s="80">
        <f t="shared" si="5"/>
        <v>40650.315000000002</v>
      </c>
      <c r="D58" s="80">
        <f t="shared" si="6"/>
        <v>56910.440999999999</v>
      </c>
      <c r="E58" s="82">
        <f t="shared" si="7"/>
        <v>65040.504000000001</v>
      </c>
      <c r="F58" s="21"/>
      <c r="G58" s="21"/>
      <c r="H58" s="26" t="s">
        <v>226</v>
      </c>
      <c r="I58" s="25">
        <v>2.5</v>
      </c>
      <c r="J58" s="25">
        <v>3.5</v>
      </c>
      <c r="K58" s="25">
        <v>4</v>
      </c>
      <c r="L58" s="77">
        <v>16260.126</v>
      </c>
    </row>
    <row r="59" spans="2:12" ht="28" x14ac:dyDescent="0.3">
      <c r="B59" s="26" t="s">
        <v>227</v>
      </c>
      <c r="C59" s="80">
        <f t="shared" si="5"/>
        <v>22033.649000000001</v>
      </c>
      <c r="D59" s="80">
        <f t="shared" si="6"/>
        <v>30847.1086</v>
      </c>
      <c r="E59" s="82">
        <f t="shared" si="7"/>
        <v>35253.838400000001</v>
      </c>
      <c r="F59" s="21"/>
      <c r="G59" s="21"/>
      <c r="H59" s="26" t="s">
        <v>227</v>
      </c>
      <c r="I59" s="25">
        <v>2.5</v>
      </c>
      <c r="J59" s="25">
        <v>3.5</v>
      </c>
      <c r="K59" s="25">
        <v>4</v>
      </c>
      <c r="L59" s="77">
        <v>8813.4596000000001</v>
      </c>
    </row>
    <row r="60" spans="2:12" ht="28" x14ac:dyDescent="0.3">
      <c r="B60" s="26" t="s">
        <v>228</v>
      </c>
      <c r="C60" s="80">
        <f t="shared" si="5"/>
        <v>22033.649000000001</v>
      </c>
      <c r="D60" s="80">
        <f t="shared" si="6"/>
        <v>30847.1086</v>
      </c>
      <c r="E60" s="82">
        <f t="shared" si="7"/>
        <v>35253.838400000001</v>
      </c>
      <c r="F60" s="21"/>
      <c r="G60" s="21"/>
      <c r="H60" s="26" t="s">
        <v>228</v>
      </c>
      <c r="I60" s="25">
        <v>2.5</v>
      </c>
      <c r="J60" s="25">
        <v>3.5</v>
      </c>
      <c r="K60" s="25">
        <v>4</v>
      </c>
      <c r="L60" s="77">
        <v>8813.4596000000001</v>
      </c>
    </row>
    <row r="61" spans="2:12" x14ac:dyDescent="0.3">
      <c r="B61" s="26" t="s">
        <v>229</v>
      </c>
      <c r="C61" s="80">
        <f t="shared" si="5"/>
        <v>0</v>
      </c>
      <c r="D61" s="80">
        <f t="shared" si="6"/>
        <v>0</v>
      </c>
      <c r="E61" s="82">
        <f t="shared" si="7"/>
        <v>0</v>
      </c>
      <c r="F61" s="21"/>
      <c r="G61" s="21"/>
      <c r="H61" s="26" t="s">
        <v>229</v>
      </c>
      <c r="I61" s="25">
        <v>2.5</v>
      </c>
      <c r="J61" s="25">
        <v>3.5</v>
      </c>
      <c r="K61" s="25">
        <v>4</v>
      </c>
      <c r="L61" s="77">
        <v>0</v>
      </c>
    </row>
    <row r="62" spans="2:12" x14ac:dyDescent="0.3">
      <c r="B62" s="26" t="s">
        <v>230</v>
      </c>
      <c r="C62" s="80">
        <f t="shared" si="5"/>
        <v>24390.188999999995</v>
      </c>
      <c r="D62" s="80">
        <f t="shared" si="6"/>
        <v>34146.264599999995</v>
      </c>
      <c r="E62" s="82">
        <f t="shared" si="7"/>
        <v>39024.302399999993</v>
      </c>
      <c r="F62" s="21"/>
      <c r="G62" s="21"/>
      <c r="H62" s="26" t="s">
        <v>230</v>
      </c>
      <c r="I62" s="25">
        <v>2.5</v>
      </c>
      <c r="J62" s="25">
        <v>3.5</v>
      </c>
      <c r="K62" s="25">
        <v>4</v>
      </c>
      <c r="L62" s="77">
        <v>9756.0755999999983</v>
      </c>
    </row>
    <row r="63" spans="2:12" ht="14.5" thickBot="1" x14ac:dyDescent="0.35">
      <c r="B63" s="216" t="s">
        <v>143</v>
      </c>
      <c r="C63" s="94">
        <f t="shared" si="5"/>
        <v>176740.5</v>
      </c>
      <c r="D63" s="94">
        <f t="shared" si="6"/>
        <v>247436.69999999998</v>
      </c>
      <c r="E63" s="215">
        <f t="shared" si="7"/>
        <v>282784.8</v>
      </c>
      <c r="F63" s="21"/>
      <c r="G63" s="21"/>
      <c r="H63" s="216" t="s">
        <v>143</v>
      </c>
      <c r="I63" s="222">
        <v>2.5</v>
      </c>
      <c r="J63" s="222">
        <v>3.5</v>
      </c>
      <c r="K63" s="222">
        <v>4</v>
      </c>
      <c r="L63" s="221">
        <v>70696.2</v>
      </c>
    </row>
    <row r="64" spans="2:12" ht="18" x14ac:dyDescent="0.4">
      <c r="B64" s="361"/>
      <c r="C64" s="361"/>
      <c r="D64" s="361"/>
      <c r="E64" s="362"/>
      <c r="F64" s="21"/>
      <c r="G64" s="21"/>
      <c r="H64" s="361"/>
      <c r="I64" s="361"/>
      <c r="J64" s="361"/>
      <c r="K64" s="361"/>
      <c r="L64" s="362"/>
    </row>
    <row r="65" spans="2:12" x14ac:dyDescent="0.3">
      <c r="B65" s="26" t="s">
        <v>232</v>
      </c>
      <c r="C65" s="80">
        <f t="shared" ref="C65:E67" si="8">I65*$L65</f>
        <v>46565.2304</v>
      </c>
      <c r="D65" s="80">
        <f t="shared" si="8"/>
        <v>46565.2304</v>
      </c>
      <c r="E65" s="82">
        <f t="shared" si="8"/>
        <v>46565.2304</v>
      </c>
      <c r="F65" s="21"/>
      <c r="G65" s="21"/>
      <c r="H65" s="26" t="s">
        <v>232</v>
      </c>
      <c r="I65" s="25">
        <v>1</v>
      </c>
      <c r="J65" s="25">
        <v>1</v>
      </c>
      <c r="K65" s="25">
        <v>1</v>
      </c>
      <c r="L65" s="77">
        <v>46565.2304</v>
      </c>
    </row>
    <row r="66" spans="2:12" x14ac:dyDescent="0.3">
      <c r="B66" s="26" t="s">
        <v>233</v>
      </c>
      <c r="C66" s="80">
        <f t="shared" si="8"/>
        <v>76163.372799999997</v>
      </c>
      <c r="D66" s="80">
        <f t="shared" si="8"/>
        <v>76163.372799999997</v>
      </c>
      <c r="E66" s="82">
        <f t="shared" si="8"/>
        <v>76163.372799999997</v>
      </c>
      <c r="F66" s="21"/>
      <c r="G66" s="21"/>
      <c r="H66" s="26" t="s">
        <v>233</v>
      </c>
      <c r="I66" s="25">
        <v>1</v>
      </c>
      <c r="J66" s="25">
        <v>1</v>
      </c>
      <c r="K66" s="25">
        <v>1</v>
      </c>
      <c r="L66" s="77">
        <v>76163.372799999997</v>
      </c>
    </row>
    <row r="67" spans="2:12" ht="14.5" thickBot="1" x14ac:dyDescent="0.35">
      <c r="B67" s="36" t="s">
        <v>234</v>
      </c>
      <c r="C67" s="94">
        <f t="shared" si="8"/>
        <v>24649.4084</v>
      </c>
      <c r="D67" s="94">
        <f t="shared" si="8"/>
        <v>24649.4084</v>
      </c>
      <c r="E67" s="215">
        <f t="shared" si="8"/>
        <v>49298.816800000001</v>
      </c>
      <c r="F67" s="21"/>
      <c r="G67" s="21"/>
      <c r="H67" s="36" t="s">
        <v>234</v>
      </c>
      <c r="I67" s="36">
        <v>1</v>
      </c>
      <c r="J67" s="36">
        <v>1</v>
      </c>
      <c r="K67" s="36">
        <v>2</v>
      </c>
      <c r="L67" s="101">
        <v>24649.4084</v>
      </c>
    </row>
    <row r="68" spans="2:12" ht="18" x14ac:dyDescent="0.4">
      <c r="B68" s="361"/>
      <c r="C68" s="361"/>
      <c r="D68" s="361"/>
      <c r="E68" s="362"/>
      <c r="F68" s="21"/>
      <c r="G68" s="21"/>
      <c r="H68" s="361"/>
      <c r="I68" s="361"/>
      <c r="J68" s="361"/>
      <c r="K68" s="361"/>
      <c r="L68" s="362"/>
    </row>
    <row r="69" spans="2:12" x14ac:dyDescent="0.3">
      <c r="B69" s="15" t="s">
        <v>248</v>
      </c>
      <c r="C69" s="80">
        <f t="shared" ref="C69:E73" si="9">I69*$L69</f>
        <v>939929.54440000001</v>
      </c>
      <c r="D69" s="80">
        <f t="shared" si="9"/>
        <v>939929.54440000001</v>
      </c>
      <c r="E69" s="82">
        <f t="shared" si="9"/>
        <v>939929.54440000001</v>
      </c>
      <c r="F69" s="21"/>
      <c r="G69" s="21"/>
      <c r="H69" s="15" t="s">
        <v>248</v>
      </c>
      <c r="I69" s="15">
        <v>1</v>
      </c>
      <c r="J69" s="15">
        <v>1</v>
      </c>
      <c r="K69" s="15">
        <v>1</v>
      </c>
      <c r="L69" s="77">
        <v>939929.54440000001</v>
      </c>
    </row>
    <row r="70" spans="2:12" x14ac:dyDescent="0.3">
      <c r="B70" s="15" t="s">
        <v>249</v>
      </c>
      <c r="C70" s="80">
        <f t="shared" si="9"/>
        <v>208577.25</v>
      </c>
      <c r="D70" s="80">
        <f t="shared" si="9"/>
        <v>208577.25</v>
      </c>
      <c r="E70" s="82">
        <f t="shared" si="9"/>
        <v>208577.25</v>
      </c>
      <c r="F70" s="21"/>
      <c r="G70" s="21"/>
      <c r="H70" s="15" t="s">
        <v>237</v>
      </c>
      <c r="I70" s="15">
        <v>1</v>
      </c>
      <c r="J70" s="15">
        <v>1</v>
      </c>
      <c r="K70" s="15">
        <v>1</v>
      </c>
      <c r="L70" s="77">
        <f>156825*1.33</f>
        <v>208577.25</v>
      </c>
    </row>
    <row r="71" spans="2:12" x14ac:dyDescent="0.3">
      <c r="B71" s="15" t="s">
        <v>238</v>
      </c>
      <c r="C71" s="80">
        <f t="shared" si="9"/>
        <v>27477.800000000003</v>
      </c>
      <c r="D71" s="80">
        <f t="shared" si="9"/>
        <v>27477.800000000003</v>
      </c>
      <c r="E71" s="82">
        <f t="shared" si="9"/>
        <v>54955.600000000006</v>
      </c>
      <c r="F71" s="21"/>
      <c r="G71" s="21"/>
      <c r="H71" s="15" t="s">
        <v>238</v>
      </c>
      <c r="I71" s="15">
        <v>1</v>
      </c>
      <c r="J71" s="15">
        <v>1</v>
      </c>
      <c r="K71" s="15">
        <v>2</v>
      </c>
      <c r="L71" s="77">
        <f>20660*1.33</f>
        <v>27477.800000000003</v>
      </c>
    </row>
    <row r="72" spans="2:12" x14ac:dyDescent="0.3">
      <c r="B72" s="15" t="s">
        <v>239</v>
      </c>
      <c r="C72" s="80">
        <f t="shared" si="9"/>
        <v>92102.5</v>
      </c>
      <c r="D72" s="80">
        <f t="shared" si="9"/>
        <v>92102.5</v>
      </c>
      <c r="E72" s="82">
        <f t="shared" si="9"/>
        <v>184205</v>
      </c>
      <c r="F72" s="21"/>
      <c r="G72" s="21"/>
      <c r="H72" s="15" t="s">
        <v>239</v>
      </c>
      <c r="I72" s="27">
        <v>1</v>
      </c>
      <c r="J72" s="27">
        <v>1</v>
      </c>
      <c r="K72" s="27">
        <v>2</v>
      </c>
      <c r="L72" s="77">
        <f>69250*1.33</f>
        <v>92102.5</v>
      </c>
    </row>
    <row r="73" spans="2:12" ht="14.5" thickBot="1" x14ac:dyDescent="0.35">
      <c r="B73" s="36" t="s">
        <v>240</v>
      </c>
      <c r="C73" s="94">
        <f t="shared" si="9"/>
        <v>115211.25</v>
      </c>
      <c r="D73" s="94">
        <f t="shared" si="9"/>
        <v>115211.25</v>
      </c>
      <c r="E73" s="215">
        <f t="shared" si="9"/>
        <v>230422.5</v>
      </c>
      <c r="F73" s="21"/>
      <c r="G73" s="21"/>
      <c r="H73" s="36" t="s">
        <v>240</v>
      </c>
      <c r="I73" s="223">
        <v>1</v>
      </c>
      <c r="J73" s="223">
        <v>1</v>
      </c>
      <c r="K73" s="223">
        <v>2</v>
      </c>
      <c r="L73" s="101">
        <f>86625*1.33</f>
        <v>115211.25</v>
      </c>
    </row>
    <row r="74" spans="2:12" ht="18" x14ac:dyDescent="0.4">
      <c r="B74" s="361"/>
      <c r="C74" s="361"/>
      <c r="D74" s="361"/>
      <c r="E74" s="362"/>
      <c r="F74" s="21"/>
      <c r="G74" s="21"/>
      <c r="H74" s="361"/>
      <c r="I74" s="361"/>
      <c r="J74" s="361"/>
      <c r="K74" s="361"/>
      <c r="L74" s="362"/>
    </row>
    <row r="75" spans="2:12" x14ac:dyDescent="0.3">
      <c r="B75" s="15" t="s">
        <v>250</v>
      </c>
      <c r="C75" s="80">
        <f t="shared" ref="C75:E76" si="10">I75*$L75</f>
        <v>115150000</v>
      </c>
      <c r="D75" s="80">
        <f t="shared" si="10"/>
        <v>115150000</v>
      </c>
      <c r="E75" s="82">
        <f t="shared" si="10"/>
        <v>115150000</v>
      </c>
      <c r="F75" s="21"/>
      <c r="G75" s="21"/>
      <c r="H75" s="15" t="s">
        <v>250</v>
      </c>
      <c r="I75" s="27">
        <v>1</v>
      </c>
      <c r="J75" s="27">
        <v>1</v>
      </c>
      <c r="K75" s="27">
        <v>1</v>
      </c>
      <c r="L75" s="78">
        <f>350*329000</f>
        <v>115150000</v>
      </c>
    </row>
    <row r="76" spans="2:12" ht="14.5" thickBot="1" x14ac:dyDescent="0.35">
      <c r="B76" s="217" t="s">
        <v>251</v>
      </c>
      <c r="C76" s="218">
        <f t="shared" si="10"/>
        <v>1216910.1000000001</v>
      </c>
      <c r="D76" s="218">
        <f t="shared" si="10"/>
        <v>1216910.1000000001</v>
      </c>
      <c r="E76" s="219">
        <f t="shared" si="10"/>
        <v>1216910.1000000001</v>
      </c>
      <c r="F76" s="21"/>
      <c r="G76" s="21"/>
      <c r="H76" s="36" t="s">
        <v>251</v>
      </c>
      <c r="I76" s="223">
        <v>1</v>
      </c>
      <c r="J76" s="223">
        <v>1</v>
      </c>
      <c r="K76" s="223">
        <v>1</v>
      </c>
      <c r="L76" s="221">
        <f>914970*1.33</f>
        <v>1216910.1000000001</v>
      </c>
    </row>
    <row r="77" spans="2:12" ht="23.5" thickBot="1" x14ac:dyDescent="0.55000000000000004">
      <c r="B77" s="227"/>
      <c r="C77" s="95">
        <f>SUM(C45:C76)</f>
        <v>119460222.26923999</v>
      </c>
      <c r="D77" s="95">
        <f>SUM(D45:D76)</f>
        <v>119928334.801</v>
      </c>
      <c r="E77" s="95">
        <f>SUM(E45:E76)</f>
        <v>120822406.12063999</v>
      </c>
      <c r="F77" s="220">
        <f>SUM(C77:E77)</f>
        <v>360210963.19088</v>
      </c>
    </row>
    <row r="78" spans="2:12" x14ac:dyDescent="0.3"/>
  </sheetData>
  <mergeCells count="23">
    <mergeCell ref="M9:M10"/>
    <mergeCell ref="H49:L49"/>
    <mergeCell ref="H64:L64"/>
    <mergeCell ref="I6:K6"/>
    <mergeCell ref="I41:K41"/>
    <mergeCell ref="H33:L33"/>
    <mergeCell ref="H44:L44"/>
    <mergeCell ref="B74:E74"/>
    <mergeCell ref="H68:L68"/>
    <mergeCell ref="H74:L74"/>
    <mergeCell ref="B64:E64"/>
    <mergeCell ref="C6:E6"/>
    <mergeCell ref="H14:L14"/>
    <mergeCell ref="H29:L29"/>
    <mergeCell ref="H9:L9"/>
    <mergeCell ref="B9:E9"/>
    <mergeCell ref="B14:E14"/>
    <mergeCell ref="B29:E29"/>
    <mergeCell ref="B49:E49"/>
    <mergeCell ref="B33:E33"/>
    <mergeCell ref="C41:E41"/>
    <mergeCell ref="B44:E44"/>
    <mergeCell ref="B68:E68"/>
  </mergeCells>
  <pageMargins left="0.7" right="0.7" top="0.75" bottom="0.75" header="0.3" footer="0.3"/>
  <pageSetup paperSize="9" orientation="portrait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695DDC-C170-4F7A-BA37-DBC26D3D9BBD}">
  <sheetPr>
    <tabColor theme="7" tint="0.79998168889431442"/>
  </sheetPr>
  <dimension ref="A1:N65"/>
  <sheetViews>
    <sheetView showGridLines="0" zoomScale="38" zoomScaleNormal="60" workbookViewId="0">
      <selection activeCell="J9" sqref="J9"/>
    </sheetView>
  </sheetViews>
  <sheetFormatPr baseColWidth="10" defaultColWidth="0" defaultRowHeight="14" zeroHeight="1" x14ac:dyDescent="0.3"/>
  <cols>
    <col min="1" max="1" width="2.33203125" customWidth="1"/>
    <col min="2" max="2" width="59.1640625" customWidth="1"/>
    <col min="3" max="3" width="55.5" customWidth="1"/>
    <col min="4" max="6" width="29" customWidth="1"/>
    <col min="7" max="7" width="35.1640625" customWidth="1"/>
    <col min="8" max="8" width="39.5" customWidth="1"/>
    <col min="9" max="9" width="30.1640625" bestFit="1" customWidth="1"/>
    <col min="10" max="10" width="35.1640625" bestFit="1" customWidth="1"/>
    <col min="11" max="11" width="29.33203125" bestFit="1" customWidth="1"/>
    <col min="12" max="12" width="19.1640625" bestFit="1" customWidth="1"/>
    <col min="13" max="13" width="11" customWidth="1"/>
    <col min="14" max="14" width="2.33203125" customWidth="1"/>
    <col min="15" max="16384" width="11" hidden="1"/>
  </cols>
  <sheetData>
    <row r="1" spans="2:12" x14ac:dyDescent="0.3"/>
    <row r="2" spans="2:12" x14ac:dyDescent="0.3"/>
    <row r="3" spans="2:12" x14ac:dyDescent="0.3"/>
    <row r="4" spans="2:12" x14ac:dyDescent="0.3"/>
    <row r="5" spans="2:12" x14ac:dyDescent="0.3"/>
    <row r="6" spans="2:12" x14ac:dyDescent="0.3"/>
    <row r="7" spans="2:12" x14ac:dyDescent="0.3"/>
    <row r="8" spans="2:12" ht="36.5" customHeight="1" x14ac:dyDescent="0.4">
      <c r="B8" s="16"/>
      <c r="C8" s="354" t="s">
        <v>252</v>
      </c>
      <c r="D8" s="354"/>
      <c r="E8" s="354"/>
      <c r="F8" s="16"/>
    </row>
    <row r="9" spans="2:12" ht="40.5" thickBot="1" x14ac:dyDescent="0.45">
      <c r="B9" s="16"/>
      <c r="C9" s="182" t="s">
        <v>37</v>
      </c>
      <c r="D9" s="182" t="s">
        <v>38</v>
      </c>
      <c r="E9" s="182" t="s">
        <v>39</v>
      </c>
      <c r="F9" s="156" t="s">
        <v>253</v>
      </c>
      <c r="G9" s="91"/>
      <c r="H9" s="91"/>
      <c r="I9" s="91"/>
      <c r="J9" s="91"/>
      <c r="K9" s="91"/>
    </row>
    <row r="10" spans="2:12" s="233" customFormat="1" ht="69" customHeight="1" x14ac:dyDescent="0.3">
      <c r="B10" s="235" t="s">
        <v>48</v>
      </c>
      <c r="C10" s="263">
        <v>2.7E-2</v>
      </c>
      <c r="D10" s="264">
        <v>0.251</v>
      </c>
      <c r="E10" s="265">
        <f>AVERAGE(61.7%,10.4%)</f>
        <v>0.36049999999999999</v>
      </c>
      <c r="F10" s="375" t="s">
        <v>254</v>
      </c>
      <c r="G10" s="375"/>
      <c r="H10" s="231"/>
      <c r="I10" s="232"/>
      <c r="J10" s="232"/>
      <c r="K10" s="232"/>
    </row>
    <row r="11" spans="2:12" s="233" customFormat="1" ht="69" customHeight="1" x14ac:dyDescent="0.3">
      <c r="B11" s="236" t="s">
        <v>49</v>
      </c>
      <c r="C11" s="266">
        <v>2.1999999999999999E-2</v>
      </c>
      <c r="D11" s="267">
        <f>AVERAGE(C11,E11)</f>
        <v>5.5999999999999994E-2</v>
      </c>
      <c r="E11" s="268">
        <v>0.09</v>
      </c>
      <c r="F11" s="375" t="s">
        <v>255</v>
      </c>
      <c r="G11" s="375"/>
      <c r="I11" s="232"/>
      <c r="J11" s="232"/>
      <c r="K11" s="232"/>
    </row>
    <row r="12" spans="2:12" s="233" customFormat="1" ht="69" customHeight="1" thickBot="1" x14ac:dyDescent="0.35">
      <c r="B12" s="236" t="s">
        <v>50</v>
      </c>
      <c r="C12" s="269">
        <f>C11*0.1</f>
        <v>2.2000000000000001E-3</v>
      </c>
      <c r="D12" s="270">
        <f>D11*0.5</f>
        <v>2.7999999999999997E-2</v>
      </c>
      <c r="E12" s="271">
        <f>E11</f>
        <v>0.09</v>
      </c>
      <c r="F12" s="375" t="s">
        <v>256</v>
      </c>
      <c r="G12" s="375"/>
      <c r="I12" s="234"/>
      <c r="J12" s="234"/>
      <c r="K12" s="234"/>
    </row>
    <row r="13" spans="2:12" ht="18" x14ac:dyDescent="0.4">
      <c r="H13" s="120"/>
      <c r="I13" s="121"/>
      <c r="J13" s="121"/>
      <c r="K13" s="121"/>
    </row>
    <row r="14" spans="2:12" x14ac:dyDescent="0.3"/>
    <row r="15" spans="2:12" s="16" customFormat="1" ht="20" x14ac:dyDescent="0.4">
      <c r="B15" s="376" t="s">
        <v>257</v>
      </c>
      <c r="C15" s="376"/>
      <c r="D15" s="376"/>
      <c r="E15" s="365"/>
      <c r="F15" s="365"/>
      <c r="G15" s="365"/>
      <c r="H15" s="365"/>
      <c r="I15" s="365"/>
      <c r="J15" s="365"/>
      <c r="K15" s="365"/>
      <c r="L15" s="365"/>
    </row>
    <row r="16" spans="2:12" s="16" customFormat="1" ht="28" customHeight="1" x14ac:dyDescent="0.4">
      <c r="B16" s="16" t="s">
        <v>43</v>
      </c>
      <c r="C16" s="139"/>
      <c r="D16" s="139"/>
      <c r="E16" s="255"/>
      <c r="F16" s="237"/>
      <c r="G16" s="237"/>
      <c r="H16" s="237"/>
      <c r="I16" s="237"/>
      <c r="J16" s="237"/>
      <c r="K16" s="237"/>
      <c r="L16" s="237"/>
    </row>
    <row r="17" spans="2:13" s="16" customFormat="1" ht="28" customHeight="1" x14ac:dyDescent="0.4">
      <c r="B17" s="138"/>
      <c r="C17" s="139"/>
      <c r="D17" s="139"/>
      <c r="E17" s="139"/>
      <c r="F17" s="237"/>
      <c r="G17" s="237"/>
      <c r="H17" s="237"/>
      <c r="I17" s="237"/>
      <c r="J17" s="237"/>
      <c r="K17" s="237"/>
      <c r="L17" s="237"/>
    </row>
    <row r="18" spans="2:13" s="16" customFormat="1" ht="20" x14ac:dyDescent="0.4">
      <c r="B18" s="376" t="s">
        <v>105</v>
      </c>
      <c r="C18" s="376"/>
      <c r="D18" s="376"/>
    </row>
    <row r="19" spans="2:13" s="16" customFormat="1" ht="20" x14ac:dyDescent="0.4">
      <c r="B19" s="374" t="s">
        <v>47</v>
      </c>
      <c r="C19" s="374"/>
      <c r="D19" s="374"/>
      <c r="E19" s="374"/>
      <c r="F19" s="374"/>
      <c r="G19" s="237"/>
      <c r="I19" s="374" t="s">
        <v>258</v>
      </c>
      <c r="J19" s="374"/>
      <c r="K19" s="374"/>
      <c r="L19" s="374"/>
      <c r="M19" s="237"/>
    </row>
    <row r="20" spans="2:13" s="16" customFormat="1" ht="40" x14ac:dyDescent="0.4">
      <c r="B20" s="256" t="s">
        <v>259</v>
      </c>
      <c r="C20" s="256" t="s">
        <v>88</v>
      </c>
      <c r="D20" s="256" t="s">
        <v>37</v>
      </c>
      <c r="E20" s="256" t="s">
        <v>38</v>
      </c>
      <c r="F20" s="256" t="s">
        <v>39</v>
      </c>
      <c r="G20" s="156"/>
      <c r="H20" s="261"/>
      <c r="I20" s="182" t="s">
        <v>37</v>
      </c>
      <c r="J20" s="182" t="s">
        <v>38</v>
      </c>
      <c r="K20" s="182" t="s">
        <v>39</v>
      </c>
      <c r="L20" s="259" t="s">
        <v>260</v>
      </c>
      <c r="M20" s="237"/>
    </row>
    <row r="21" spans="2:13" s="16" customFormat="1" ht="40" x14ac:dyDescent="0.4">
      <c r="B21" s="257" t="s">
        <v>261</v>
      </c>
      <c r="C21" s="257" t="s">
        <v>262</v>
      </c>
      <c r="D21" s="238">
        <f>I21*$L21</f>
        <v>11226089</v>
      </c>
      <c r="E21" s="238">
        <f t="shared" ref="D21:F22" si="0">J21*$L21</f>
        <v>12348697.9</v>
      </c>
      <c r="F21" s="238">
        <f t="shared" si="0"/>
        <v>12910002.35</v>
      </c>
      <c r="G21" s="240"/>
      <c r="H21" s="260" t="s">
        <v>263</v>
      </c>
      <c r="I21" s="160">
        <v>1</v>
      </c>
      <c r="J21" s="160">
        <v>1.1000000000000001</v>
      </c>
      <c r="K21" s="160">
        <v>1.1499999999999999</v>
      </c>
      <c r="L21" s="262">
        <f>942616+(AVERAGE(12178949,8387997))</f>
        <v>11226089</v>
      </c>
    </row>
    <row r="22" spans="2:13" s="16" customFormat="1" ht="20" x14ac:dyDescent="0.4">
      <c r="B22" s="257" t="s">
        <v>49</v>
      </c>
      <c r="C22" s="257" t="s">
        <v>262</v>
      </c>
      <c r="D22" s="238">
        <f t="shared" si="0"/>
        <v>6427887</v>
      </c>
      <c r="E22" s="238">
        <f t="shared" si="0"/>
        <v>7070675.7000000002</v>
      </c>
      <c r="F22" s="238">
        <f t="shared" si="0"/>
        <v>7392070.0499999998</v>
      </c>
      <c r="G22" s="240"/>
      <c r="H22" s="257" t="s">
        <v>264</v>
      </c>
      <c r="I22" s="160">
        <v>1</v>
      </c>
      <c r="J22" s="160">
        <v>1.1000000000000001</v>
      </c>
      <c r="K22" s="160">
        <v>1.1499999999999999</v>
      </c>
      <c r="L22" s="262">
        <v>6427887</v>
      </c>
      <c r="M22" s="16" t="s">
        <v>265</v>
      </c>
    </row>
    <row r="23" spans="2:13" s="16" customFormat="1" ht="20" x14ac:dyDescent="0.4">
      <c r="B23" s="257" t="s">
        <v>50</v>
      </c>
      <c r="C23" s="257" t="s">
        <v>266</v>
      </c>
      <c r="D23" s="238">
        <f>H56</f>
        <v>9854160.3664000016</v>
      </c>
      <c r="E23" s="238">
        <f>I56</f>
        <v>12003518.135200003</v>
      </c>
      <c r="F23" s="238">
        <f>J56</f>
        <v>279967476.5108</v>
      </c>
      <c r="G23" s="240"/>
      <c r="L23" s="240"/>
    </row>
    <row r="24" spans="2:13" s="16" customFormat="1" ht="20" x14ac:dyDescent="0.4">
      <c r="C24" s="138" t="s">
        <v>52</v>
      </c>
      <c r="D24" s="187">
        <f>SUM(D21:D23)</f>
        <v>27508136.366400003</v>
      </c>
      <c r="E24" s="187">
        <f>SUM(E21:E23)</f>
        <v>31422891.735200003</v>
      </c>
      <c r="F24" s="187">
        <f>SUM(F21:F23)</f>
        <v>300269548.91079998</v>
      </c>
    </row>
    <row r="25" spans="2:13" s="16" customFormat="1" ht="20" x14ac:dyDescent="0.4">
      <c r="C25" s="138"/>
      <c r="D25" s="258"/>
      <c r="E25" s="258"/>
      <c r="F25" s="258"/>
    </row>
    <row r="26" spans="2:13" s="16" customFormat="1" ht="20" x14ac:dyDescent="0.4">
      <c r="B26" s="376" t="s">
        <v>267</v>
      </c>
      <c r="C26" s="376"/>
      <c r="D26" s="376"/>
    </row>
    <row r="27" spans="2:13" s="16" customFormat="1" ht="20.5" thickBot="1" x14ac:dyDescent="0.45"/>
    <row r="28" spans="2:13" s="16" customFormat="1" ht="20" x14ac:dyDescent="0.4">
      <c r="B28" s="376" t="s">
        <v>268</v>
      </c>
      <c r="C28" s="376"/>
      <c r="D28" s="376"/>
      <c r="E28" s="366" t="s">
        <v>269</v>
      </c>
      <c r="F28" s="367"/>
      <c r="G28" s="368"/>
      <c r="H28" s="366" t="s">
        <v>270</v>
      </c>
      <c r="I28" s="367"/>
      <c r="J28" s="369"/>
    </row>
    <row r="29" spans="2:13" s="16" customFormat="1" ht="20.5" thickBot="1" x14ac:dyDescent="0.45">
      <c r="B29" s="237"/>
      <c r="C29" s="237"/>
      <c r="E29" s="370" t="s">
        <v>271</v>
      </c>
      <c r="F29" s="371"/>
      <c r="G29" s="372"/>
      <c r="H29" s="370" t="s">
        <v>272</v>
      </c>
      <c r="I29" s="371"/>
      <c r="J29" s="373"/>
    </row>
    <row r="30" spans="2:13" s="16" customFormat="1" ht="40" x14ac:dyDescent="0.4">
      <c r="B30" s="159" t="s">
        <v>273</v>
      </c>
      <c r="C30" s="157" t="s">
        <v>274</v>
      </c>
      <c r="D30" s="241" t="s">
        <v>275</v>
      </c>
      <c r="E30" s="153" t="s">
        <v>37</v>
      </c>
      <c r="F30" s="154" t="s">
        <v>38</v>
      </c>
      <c r="G30" s="242" t="s">
        <v>39</v>
      </c>
      <c r="H30" s="153" t="s">
        <v>276</v>
      </c>
      <c r="I30" s="154" t="s">
        <v>277</v>
      </c>
      <c r="J30" s="155" t="s">
        <v>278</v>
      </c>
    </row>
    <row r="31" spans="2:13" s="16" customFormat="1" ht="20" x14ac:dyDescent="0.4">
      <c r="B31" s="229">
        <v>902210</v>
      </c>
      <c r="C31" s="160" t="s">
        <v>279</v>
      </c>
      <c r="D31" s="243">
        <v>21397.3832</v>
      </c>
      <c r="E31" s="244">
        <v>10</v>
      </c>
      <c r="F31" s="245">
        <v>12</v>
      </c>
      <c r="G31" s="246">
        <v>15</v>
      </c>
      <c r="H31" s="247">
        <f t="shared" ref="H31:H55" si="1">$D31*E31</f>
        <v>213973.83199999999</v>
      </c>
      <c r="I31" s="238">
        <f t="shared" ref="I31:I55" si="2">$D31*F31</f>
        <v>256768.59840000002</v>
      </c>
      <c r="J31" s="239">
        <f t="shared" ref="J31:J55" si="3">$D31*G31</f>
        <v>320960.74800000002</v>
      </c>
    </row>
    <row r="32" spans="2:13" s="16" customFormat="1" ht="20" x14ac:dyDescent="0.4">
      <c r="B32" s="229">
        <v>903856</v>
      </c>
      <c r="C32" s="160" t="s">
        <v>134</v>
      </c>
      <c r="D32" s="243">
        <v>10038.8604</v>
      </c>
      <c r="E32" s="244">
        <v>10</v>
      </c>
      <c r="F32" s="245">
        <v>12</v>
      </c>
      <c r="G32" s="246">
        <v>15</v>
      </c>
      <c r="H32" s="247">
        <f t="shared" si="1"/>
        <v>100388.60399999999</v>
      </c>
      <c r="I32" s="238">
        <f t="shared" si="2"/>
        <v>120466.3248</v>
      </c>
      <c r="J32" s="239">
        <f t="shared" si="3"/>
        <v>150582.90599999999</v>
      </c>
    </row>
    <row r="33" spans="2:10" s="16" customFormat="1" ht="20" x14ac:dyDescent="0.4">
      <c r="B33" s="229">
        <v>983895</v>
      </c>
      <c r="C33" s="160" t="s">
        <v>280</v>
      </c>
      <c r="D33" s="243">
        <v>10038.8604</v>
      </c>
      <c r="E33" s="244">
        <v>10</v>
      </c>
      <c r="F33" s="245">
        <v>12</v>
      </c>
      <c r="G33" s="246">
        <v>15</v>
      </c>
      <c r="H33" s="247">
        <f t="shared" si="1"/>
        <v>100388.60399999999</v>
      </c>
      <c r="I33" s="238">
        <f t="shared" si="2"/>
        <v>120466.3248</v>
      </c>
      <c r="J33" s="239">
        <f t="shared" si="3"/>
        <v>150582.90599999999</v>
      </c>
    </row>
    <row r="34" spans="2:10" s="16" customFormat="1" ht="20" x14ac:dyDescent="0.4">
      <c r="B34" s="229">
        <v>803859</v>
      </c>
      <c r="C34" s="160" t="s">
        <v>281</v>
      </c>
      <c r="D34" s="243">
        <v>11547.046</v>
      </c>
      <c r="E34" s="244">
        <v>10</v>
      </c>
      <c r="F34" s="245">
        <v>12</v>
      </c>
      <c r="G34" s="246">
        <v>15</v>
      </c>
      <c r="H34" s="247">
        <f t="shared" si="1"/>
        <v>115470.46</v>
      </c>
      <c r="I34" s="238">
        <f t="shared" si="2"/>
        <v>138564.552</v>
      </c>
      <c r="J34" s="239">
        <f t="shared" si="3"/>
        <v>173205.69</v>
      </c>
    </row>
    <row r="35" spans="2:10" s="16" customFormat="1" ht="20" x14ac:dyDescent="0.4">
      <c r="B35" s="229">
        <v>903864</v>
      </c>
      <c r="C35" s="160" t="s">
        <v>225</v>
      </c>
      <c r="D35" s="243">
        <v>16260.126</v>
      </c>
      <c r="E35" s="244">
        <v>10</v>
      </c>
      <c r="F35" s="245">
        <v>12</v>
      </c>
      <c r="G35" s="246">
        <v>15</v>
      </c>
      <c r="H35" s="247">
        <f t="shared" si="1"/>
        <v>162601.26</v>
      </c>
      <c r="I35" s="238">
        <f t="shared" si="2"/>
        <v>195121.51199999999</v>
      </c>
      <c r="J35" s="239">
        <f t="shared" si="3"/>
        <v>243901.89</v>
      </c>
    </row>
    <row r="36" spans="2:10" s="16" customFormat="1" ht="20" x14ac:dyDescent="0.4">
      <c r="B36" s="229">
        <v>903839</v>
      </c>
      <c r="C36" s="160" t="s">
        <v>282</v>
      </c>
      <c r="D36" s="243">
        <v>24649.4084</v>
      </c>
      <c r="E36" s="244">
        <v>10</v>
      </c>
      <c r="F36" s="245">
        <v>12</v>
      </c>
      <c r="G36" s="246">
        <v>15</v>
      </c>
      <c r="H36" s="247">
        <f t="shared" si="1"/>
        <v>246494.084</v>
      </c>
      <c r="I36" s="238">
        <f t="shared" si="2"/>
        <v>295792.9008</v>
      </c>
      <c r="J36" s="239">
        <f t="shared" si="3"/>
        <v>369741.12599999999</v>
      </c>
    </row>
    <row r="37" spans="2:10" s="16" customFormat="1" ht="20" x14ac:dyDescent="0.4">
      <c r="B37" s="229">
        <v>871121</v>
      </c>
      <c r="C37" s="160" t="s">
        <v>283</v>
      </c>
      <c r="D37" s="243">
        <f>20660*1.33</f>
        <v>27477.800000000003</v>
      </c>
      <c r="E37" s="244">
        <v>10</v>
      </c>
      <c r="F37" s="245">
        <v>12</v>
      </c>
      <c r="G37" s="246">
        <v>15</v>
      </c>
      <c r="H37" s="247">
        <f t="shared" si="1"/>
        <v>274778</v>
      </c>
      <c r="I37" s="238">
        <f t="shared" si="2"/>
        <v>329733.60000000003</v>
      </c>
      <c r="J37" s="239">
        <f t="shared" si="3"/>
        <v>412167.00000000006</v>
      </c>
    </row>
    <row r="38" spans="2:10" s="16" customFormat="1" ht="20" x14ac:dyDescent="0.4">
      <c r="B38" s="229"/>
      <c r="C38" s="160" t="s">
        <v>284</v>
      </c>
      <c r="D38" s="248">
        <f>0.58*329000</f>
        <v>190820</v>
      </c>
      <c r="E38" s="244">
        <v>3</v>
      </c>
      <c r="F38" s="245">
        <v>5</v>
      </c>
      <c r="G38" s="246">
        <v>8</v>
      </c>
      <c r="H38" s="247">
        <f t="shared" si="1"/>
        <v>572460</v>
      </c>
      <c r="I38" s="238">
        <f t="shared" si="2"/>
        <v>954100</v>
      </c>
      <c r="J38" s="239">
        <f t="shared" si="3"/>
        <v>1526560</v>
      </c>
    </row>
    <row r="39" spans="2:10" s="16" customFormat="1" ht="20" x14ac:dyDescent="0.4">
      <c r="B39" s="229"/>
      <c r="C39" s="160" t="s">
        <v>285</v>
      </c>
      <c r="D39" s="249">
        <f>542960*1.33</f>
        <v>722136.8</v>
      </c>
      <c r="E39" s="244">
        <v>10</v>
      </c>
      <c r="F39" s="245">
        <v>12</v>
      </c>
      <c r="G39" s="246">
        <v>15</v>
      </c>
      <c r="H39" s="247">
        <f t="shared" si="1"/>
        <v>7221368</v>
      </c>
      <c r="I39" s="238">
        <f t="shared" si="2"/>
        <v>8665641.6000000015</v>
      </c>
      <c r="J39" s="239">
        <f t="shared" si="3"/>
        <v>10832052</v>
      </c>
    </row>
    <row r="40" spans="2:10" s="16" customFormat="1" ht="20" x14ac:dyDescent="0.4">
      <c r="B40" s="229"/>
      <c r="C40" s="160" t="s">
        <v>286</v>
      </c>
      <c r="D40" s="249">
        <f>83795*1.33</f>
        <v>111447.35</v>
      </c>
      <c r="E40" s="244">
        <v>5</v>
      </c>
      <c r="F40" s="245">
        <v>5</v>
      </c>
      <c r="G40" s="246">
        <v>5</v>
      </c>
      <c r="H40" s="247">
        <f t="shared" si="1"/>
        <v>557236.75</v>
      </c>
      <c r="I40" s="238">
        <f t="shared" si="2"/>
        <v>557236.75</v>
      </c>
      <c r="J40" s="239">
        <f t="shared" si="3"/>
        <v>557236.75</v>
      </c>
    </row>
    <row r="41" spans="2:10" s="16" customFormat="1" ht="20" x14ac:dyDescent="0.4">
      <c r="B41" s="229"/>
      <c r="C41" s="160" t="s">
        <v>176</v>
      </c>
      <c r="D41" s="250">
        <f>4070*1.33</f>
        <v>5413.1</v>
      </c>
      <c r="E41" s="244">
        <v>3</v>
      </c>
      <c r="F41" s="245">
        <v>5</v>
      </c>
      <c r="G41" s="246">
        <v>8</v>
      </c>
      <c r="H41" s="247">
        <f t="shared" si="1"/>
        <v>16239.300000000001</v>
      </c>
      <c r="I41" s="238">
        <f t="shared" si="2"/>
        <v>27065.5</v>
      </c>
      <c r="J41" s="239">
        <f t="shared" si="3"/>
        <v>43304.800000000003</v>
      </c>
    </row>
    <row r="42" spans="2:10" s="16" customFormat="1" ht="13" customHeight="1" x14ac:dyDescent="0.4">
      <c r="B42" s="229"/>
      <c r="C42" s="160" t="s">
        <v>180</v>
      </c>
      <c r="D42" s="243">
        <v>122681.4724</v>
      </c>
      <c r="E42" s="244">
        <v>1</v>
      </c>
      <c r="F42" s="245">
        <v>1</v>
      </c>
      <c r="G42" s="246">
        <v>2</v>
      </c>
      <c r="H42" s="247">
        <f t="shared" si="1"/>
        <v>122681.4724</v>
      </c>
      <c r="I42" s="238">
        <f t="shared" si="2"/>
        <v>122681.4724</v>
      </c>
      <c r="J42" s="239">
        <f t="shared" si="3"/>
        <v>245362.9448</v>
      </c>
    </row>
    <row r="43" spans="2:10" s="16" customFormat="1" ht="20" x14ac:dyDescent="0.4">
      <c r="B43" s="229"/>
      <c r="C43" s="160" t="s">
        <v>181</v>
      </c>
      <c r="D43" s="248">
        <v>56</v>
      </c>
      <c r="E43" s="244">
        <f>240*6</f>
        <v>1440</v>
      </c>
      <c r="F43" s="245">
        <f>240*7</f>
        <v>1680</v>
      </c>
      <c r="G43" s="246">
        <f>240*15</f>
        <v>3600</v>
      </c>
      <c r="H43" s="247">
        <f t="shared" si="1"/>
        <v>80640</v>
      </c>
      <c r="I43" s="238">
        <f t="shared" si="2"/>
        <v>94080</v>
      </c>
      <c r="J43" s="239">
        <f t="shared" si="3"/>
        <v>201600</v>
      </c>
    </row>
    <row r="44" spans="2:10" s="16" customFormat="1" ht="20" x14ac:dyDescent="0.4">
      <c r="B44" s="229"/>
      <c r="C44" s="160" t="s">
        <v>182</v>
      </c>
      <c r="D44" s="248">
        <v>45</v>
      </c>
      <c r="E44" s="244">
        <f>504*3</f>
        <v>1512</v>
      </c>
      <c r="F44" s="245">
        <f>504*5</f>
        <v>2520</v>
      </c>
      <c r="G44" s="246">
        <f>504*5</f>
        <v>2520</v>
      </c>
      <c r="H44" s="247">
        <f t="shared" si="1"/>
        <v>68040</v>
      </c>
      <c r="I44" s="238">
        <f t="shared" si="2"/>
        <v>113400</v>
      </c>
      <c r="J44" s="239">
        <f t="shared" si="3"/>
        <v>113400</v>
      </c>
    </row>
    <row r="45" spans="2:10" s="16" customFormat="1" ht="20" x14ac:dyDescent="0.4">
      <c r="B45" s="229"/>
      <c r="C45" s="160" t="s">
        <v>183</v>
      </c>
      <c r="D45" s="248">
        <v>89</v>
      </c>
      <c r="E45" s="244">
        <f>37*0</f>
        <v>0</v>
      </c>
      <c r="F45" s="245">
        <f>37*3</f>
        <v>111</v>
      </c>
      <c r="G45" s="246">
        <f>37*7</f>
        <v>259</v>
      </c>
      <c r="H45" s="247">
        <f t="shared" si="1"/>
        <v>0</v>
      </c>
      <c r="I45" s="238">
        <f t="shared" si="2"/>
        <v>9879</v>
      </c>
      <c r="J45" s="239">
        <f t="shared" si="3"/>
        <v>23051</v>
      </c>
    </row>
    <row r="46" spans="2:10" s="16" customFormat="1" ht="20" x14ac:dyDescent="0.4">
      <c r="B46" s="229"/>
      <c r="C46" s="160" t="s">
        <v>184</v>
      </c>
      <c r="D46" s="248">
        <v>1000000</v>
      </c>
      <c r="E46" s="244">
        <v>0</v>
      </c>
      <c r="F46" s="245">
        <v>0</v>
      </c>
      <c r="G46" s="246">
        <v>1</v>
      </c>
      <c r="H46" s="247">
        <f t="shared" si="1"/>
        <v>0</v>
      </c>
      <c r="I46" s="238">
        <f t="shared" si="2"/>
        <v>0</v>
      </c>
      <c r="J46" s="239">
        <f t="shared" si="3"/>
        <v>1000000</v>
      </c>
    </row>
    <row r="47" spans="2:10" s="16" customFormat="1" ht="20" x14ac:dyDescent="0.4">
      <c r="B47" s="229"/>
      <c r="C47" s="160" t="s">
        <v>185</v>
      </c>
      <c r="D47" s="248">
        <v>14</v>
      </c>
      <c r="E47" s="244">
        <f>20*5</f>
        <v>100</v>
      </c>
      <c r="F47" s="245">
        <f>20*9</f>
        <v>180</v>
      </c>
      <c r="G47" s="246">
        <f>20*15</f>
        <v>300</v>
      </c>
      <c r="H47" s="247">
        <f t="shared" si="1"/>
        <v>1400</v>
      </c>
      <c r="I47" s="238">
        <f t="shared" si="2"/>
        <v>2520</v>
      </c>
      <c r="J47" s="239">
        <f t="shared" si="3"/>
        <v>4200</v>
      </c>
    </row>
    <row r="48" spans="2:10" s="16" customFormat="1" ht="20" x14ac:dyDescent="0.4">
      <c r="B48" s="229"/>
      <c r="C48" s="160" t="s">
        <v>186</v>
      </c>
      <c r="D48" s="248">
        <v>12</v>
      </c>
      <c r="E48" s="244">
        <f>48*0</f>
        <v>0</v>
      </c>
      <c r="F48" s="245">
        <f>48*0</f>
        <v>0</v>
      </c>
      <c r="G48" s="246">
        <f>48*12</f>
        <v>576</v>
      </c>
      <c r="H48" s="247">
        <f t="shared" si="1"/>
        <v>0</v>
      </c>
      <c r="I48" s="238">
        <f t="shared" si="2"/>
        <v>0</v>
      </c>
      <c r="J48" s="239">
        <f t="shared" si="3"/>
        <v>6912</v>
      </c>
    </row>
    <row r="49" spans="2:11" s="16" customFormat="1" ht="20" x14ac:dyDescent="0.4">
      <c r="B49" s="229">
        <v>396501</v>
      </c>
      <c r="C49" s="160" t="s">
        <v>187</v>
      </c>
      <c r="D49" s="249">
        <v>2000000</v>
      </c>
      <c r="E49" s="244">
        <v>0</v>
      </c>
      <c r="F49" s="245">
        <v>0</v>
      </c>
      <c r="G49" s="246">
        <v>7</v>
      </c>
      <c r="H49" s="247">
        <f t="shared" si="1"/>
        <v>0</v>
      </c>
      <c r="I49" s="238">
        <f t="shared" si="2"/>
        <v>0</v>
      </c>
      <c r="J49" s="239">
        <f t="shared" si="3"/>
        <v>14000000</v>
      </c>
    </row>
    <row r="50" spans="2:11" s="16" customFormat="1" ht="20" x14ac:dyDescent="0.4">
      <c r="B50" s="229">
        <v>396503</v>
      </c>
      <c r="C50" s="160" t="s">
        <v>188</v>
      </c>
      <c r="D50" s="249">
        <f>D49/3</f>
        <v>666666.66666666663</v>
      </c>
      <c r="E50" s="244">
        <v>0</v>
      </c>
      <c r="F50" s="245">
        <v>0</v>
      </c>
      <c r="G50" s="246">
        <v>1</v>
      </c>
      <c r="H50" s="247">
        <f t="shared" si="1"/>
        <v>0</v>
      </c>
      <c r="I50" s="238">
        <f t="shared" si="2"/>
        <v>0</v>
      </c>
      <c r="J50" s="239">
        <f t="shared" si="3"/>
        <v>666666.66666666663</v>
      </c>
    </row>
    <row r="51" spans="2:11" s="16" customFormat="1" ht="20" x14ac:dyDescent="0.4">
      <c r="B51" s="229">
        <v>396504</v>
      </c>
      <c r="C51" s="160" t="s">
        <v>189</v>
      </c>
      <c r="D51" s="249">
        <f>D49/3</f>
        <v>666666.66666666663</v>
      </c>
      <c r="E51" s="244">
        <v>0</v>
      </c>
      <c r="F51" s="245">
        <v>0</v>
      </c>
      <c r="G51" s="246">
        <v>1</v>
      </c>
      <c r="H51" s="247">
        <f t="shared" si="1"/>
        <v>0</v>
      </c>
      <c r="I51" s="238">
        <f t="shared" si="2"/>
        <v>0</v>
      </c>
      <c r="J51" s="239">
        <f t="shared" si="3"/>
        <v>666666.66666666663</v>
      </c>
    </row>
    <row r="52" spans="2:11" s="16" customFormat="1" ht="20" x14ac:dyDescent="0.4">
      <c r="B52" s="229">
        <v>396505</v>
      </c>
      <c r="C52" s="160" t="s">
        <v>190</v>
      </c>
      <c r="D52" s="249">
        <f>D49/3</f>
        <v>666666.66666666663</v>
      </c>
      <c r="E52" s="244">
        <v>0</v>
      </c>
      <c r="F52" s="245">
        <v>0</v>
      </c>
      <c r="G52" s="246">
        <v>1</v>
      </c>
      <c r="H52" s="247">
        <f t="shared" si="1"/>
        <v>0</v>
      </c>
      <c r="I52" s="238">
        <f t="shared" si="2"/>
        <v>0</v>
      </c>
      <c r="J52" s="239">
        <f t="shared" si="3"/>
        <v>666666.66666666663</v>
      </c>
    </row>
    <row r="53" spans="2:11" s="16" customFormat="1" ht="20" x14ac:dyDescent="0.4">
      <c r="B53" s="229">
        <v>911107</v>
      </c>
      <c r="C53" s="160" t="s">
        <v>287</v>
      </c>
      <c r="D53" s="249">
        <f>116165*1.33</f>
        <v>154499.45000000001</v>
      </c>
      <c r="E53" s="244">
        <v>0</v>
      </c>
      <c r="F53" s="245">
        <v>0</v>
      </c>
      <c r="G53" s="246">
        <v>5</v>
      </c>
      <c r="H53" s="247">
        <f t="shared" si="1"/>
        <v>0</v>
      </c>
      <c r="I53" s="238">
        <f t="shared" si="2"/>
        <v>0</v>
      </c>
      <c r="J53" s="239">
        <f t="shared" si="3"/>
        <v>772497.25</v>
      </c>
    </row>
    <row r="54" spans="2:11" s="16" customFormat="1" ht="20" x14ac:dyDescent="0.4">
      <c r="B54" s="229"/>
      <c r="C54" s="160" t="s">
        <v>193</v>
      </c>
      <c r="D54" s="249">
        <f>26375*1.33</f>
        <v>35078.75</v>
      </c>
      <c r="E54" s="244">
        <v>0</v>
      </c>
      <c r="F54" s="245">
        <v>0</v>
      </c>
      <c r="G54" s="246">
        <v>2</v>
      </c>
      <c r="H54" s="247">
        <f t="shared" si="1"/>
        <v>0</v>
      </c>
      <c r="I54" s="238">
        <f t="shared" si="2"/>
        <v>0</v>
      </c>
      <c r="J54" s="239">
        <f t="shared" si="3"/>
        <v>70157.5</v>
      </c>
    </row>
    <row r="55" spans="2:11" s="16" customFormat="1" ht="20.5" thickBot="1" x14ac:dyDescent="0.45">
      <c r="B55" s="230">
        <v>327101</v>
      </c>
      <c r="C55" s="161" t="s">
        <v>194</v>
      </c>
      <c r="D55" s="251">
        <f>2500*329000</f>
        <v>822500000</v>
      </c>
      <c r="E55" s="252">
        <v>0</v>
      </c>
      <c r="F55" s="253">
        <v>0</v>
      </c>
      <c r="G55" s="254">
        <v>0.3</v>
      </c>
      <c r="H55" s="247">
        <f t="shared" si="1"/>
        <v>0</v>
      </c>
      <c r="I55" s="238">
        <f t="shared" si="2"/>
        <v>0</v>
      </c>
      <c r="J55" s="239">
        <f t="shared" si="3"/>
        <v>246750000</v>
      </c>
    </row>
    <row r="56" spans="2:11" s="16" customFormat="1" ht="20.5" thickBot="1" x14ac:dyDescent="0.45">
      <c r="B56" s="377" t="s">
        <v>52</v>
      </c>
      <c r="C56" s="378"/>
      <c r="D56" s="378"/>
      <c r="E56" s="379"/>
      <c r="F56" s="379"/>
      <c r="G56" s="379"/>
      <c r="H56" s="96">
        <f>SUM(H30:H55)</f>
        <v>9854160.3664000016</v>
      </c>
      <c r="I56" s="81">
        <f t="shared" ref="I56" si="4">SUM(I30:I55)</f>
        <v>12003518.135200003</v>
      </c>
      <c r="J56" s="83">
        <f>SUM(J30:J55)</f>
        <v>279967476.5108</v>
      </c>
    </row>
    <row r="57" spans="2:11" s="16" customFormat="1" ht="20" x14ac:dyDescent="0.4">
      <c r="D57" s="140"/>
      <c r="I57" s="240"/>
      <c r="J57" s="240"/>
      <c r="K57" s="240"/>
    </row>
    <row r="58" spans="2:11" s="16" customFormat="1" ht="20" hidden="1" x14ac:dyDescent="0.4">
      <c r="D58" s="140"/>
    </row>
    <row r="59" spans="2:11" hidden="1" x14ac:dyDescent="0.3">
      <c r="D59" s="5"/>
    </row>
    <row r="60" spans="2:11" hidden="1" x14ac:dyDescent="0.3">
      <c r="D60" s="5"/>
    </row>
    <row r="61" spans="2:11" hidden="1" x14ac:dyDescent="0.3">
      <c r="D61" s="5"/>
    </row>
    <row r="62" spans="2:11" hidden="1" x14ac:dyDescent="0.3">
      <c r="D62" s="5"/>
    </row>
    <row r="63" spans="2:11" hidden="1" x14ac:dyDescent="0.3">
      <c r="B63" s="5"/>
      <c r="D63" s="5"/>
    </row>
    <row r="64" spans="2:11" hidden="1" x14ac:dyDescent="0.3">
      <c r="B64" s="5"/>
      <c r="D64" s="5"/>
    </row>
    <row r="65" spans="2:4" hidden="1" x14ac:dyDescent="0.3">
      <c r="B65" s="5"/>
      <c r="D65" s="5"/>
    </row>
  </sheetData>
  <mergeCells count="18">
    <mergeCell ref="B28:D28"/>
    <mergeCell ref="B56:G56"/>
    <mergeCell ref="K15:L15"/>
    <mergeCell ref="C8:E8"/>
    <mergeCell ref="E28:G28"/>
    <mergeCell ref="H28:J28"/>
    <mergeCell ref="E29:G29"/>
    <mergeCell ref="H29:J29"/>
    <mergeCell ref="B19:F19"/>
    <mergeCell ref="F10:G10"/>
    <mergeCell ref="F11:G11"/>
    <mergeCell ref="F12:G12"/>
    <mergeCell ref="B15:D15"/>
    <mergeCell ref="E15:G15"/>
    <mergeCell ref="H15:J15"/>
    <mergeCell ref="B18:D18"/>
    <mergeCell ref="I19:L19"/>
    <mergeCell ref="B26:D26"/>
  </mergeCells>
  <pageMargins left="0.7" right="0.7" top="0.75" bottom="0.75" header="0.3" footer="0.3"/>
  <pageSetup paperSize="9" orientation="portrait" horizontalDpi="360" verticalDpi="36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7104A7-F0AE-468E-B74A-59FF89656592}">
  <sheetPr>
    <tabColor theme="7" tint="0.79998168889431442"/>
  </sheetPr>
  <dimension ref="A1:AH141"/>
  <sheetViews>
    <sheetView showGridLines="0" zoomScale="35" zoomScaleNormal="48" workbookViewId="0">
      <selection activeCell="J34" sqref="J34"/>
    </sheetView>
  </sheetViews>
  <sheetFormatPr baseColWidth="10" defaultColWidth="0" defaultRowHeight="20" zeroHeight="1" x14ac:dyDescent="0.4"/>
  <cols>
    <col min="1" max="1" width="4.6640625" style="16" customWidth="1"/>
    <col min="2" max="4" width="42.5" style="140" customWidth="1"/>
    <col min="5" max="5" width="26.83203125" style="140" customWidth="1"/>
    <col min="6" max="6" width="31.6640625" style="140" customWidth="1"/>
    <col min="7" max="7" width="26.83203125" style="140" customWidth="1"/>
    <col min="8" max="8" width="31.6640625" style="140" customWidth="1"/>
    <col min="9" max="9" width="104.33203125" style="140" customWidth="1"/>
    <col min="10" max="10" width="54.1640625" style="140" customWidth="1"/>
    <col min="11" max="11" width="30.83203125" style="140" bestFit="1" customWidth="1"/>
    <col min="12" max="12" width="5.1640625" style="140" customWidth="1"/>
    <col min="13" max="13" width="42.1640625" style="16" bestFit="1" customWidth="1"/>
    <col min="14" max="14" width="22.1640625" style="16" bestFit="1" customWidth="1"/>
    <col min="15" max="15" width="32" style="16" bestFit="1" customWidth="1"/>
    <col min="16" max="16" width="33.1640625" style="16" bestFit="1" customWidth="1"/>
    <col min="17" max="17" width="11" style="16" bestFit="1" customWidth="1"/>
    <col min="18" max="18" width="11" style="16" customWidth="1"/>
    <col min="19" max="19" width="39.6640625" style="16" bestFit="1" customWidth="1"/>
    <col min="20" max="21" width="41.1640625" style="16" bestFit="1" customWidth="1"/>
    <col min="22" max="22" width="42.1640625" style="16" bestFit="1" customWidth="1"/>
    <col min="23" max="23" width="5" style="16" customWidth="1"/>
    <col min="24" max="24" width="43" style="16" bestFit="1" customWidth="1"/>
    <col min="25" max="26" width="41.1640625" style="16" bestFit="1" customWidth="1"/>
    <col min="27" max="27" width="43" style="16" bestFit="1" customWidth="1"/>
    <col min="28" max="28" width="4.1640625" style="16" customWidth="1"/>
    <col min="29" max="29" width="43" style="16" bestFit="1" customWidth="1"/>
    <col min="30" max="31" width="41.1640625" style="16" bestFit="1" customWidth="1"/>
    <col min="32" max="32" width="43" style="16" bestFit="1" customWidth="1"/>
    <col min="33" max="33" width="4.6640625" style="16" customWidth="1"/>
    <col min="34" max="34" width="0" style="16" hidden="1" customWidth="1"/>
    <col min="35" max="16384" width="11" style="16" hidden="1"/>
  </cols>
  <sheetData>
    <row r="1" spans="2:31" x14ac:dyDescent="0.4"/>
    <row r="2" spans="2:31" x14ac:dyDescent="0.4"/>
    <row r="3" spans="2:31" x14ac:dyDescent="0.4"/>
    <row r="4" spans="2:31" x14ac:dyDescent="0.4"/>
    <row r="5" spans="2:31" x14ac:dyDescent="0.4"/>
    <row r="6" spans="2:31" x14ac:dyDescent="0.4"/>
    <row r="7" spans="2:31" ht="20.5" thickBot="1" x14ac:dyDescent="0.45">
      <c r="S7" s="354" t="s">
        <v>288</v>
      </c>
      <c r="T7" s="354"/>
      <c r="U7" s="354"/>
      <c r="X7" s="354" t="s">
        <v>289</v>
      </c>
      <c r="Y7" s="354"/>
      <c r="Z7" s="354"/>
      <c r="AC7" s="354" t="s">
        <v>290</v>
      </c>
      <c r="AD7" s="354"/>
      <c r="AE7" s="354"/>
    </row>
    <row r="8" spans="2:31" ht="63" customHeight="1" x14ac:dyDescent="0.4">
      <c r="B8" s="308" t="s">
        <v>291</v>
      </c>
      <c r="C8" s="309" t="s">
        <v>292</v>
      </c>
      <c r="D8" s="309"/>
      <c r="E8" s="310" t="s">
        <v>293</v>
      </c>
      <c r="F8" s="311" t="s">
        <v>294</v>
      </c>
      <c r="G8" s="311" t="s">
        <v>295</v>
      </c>
      <c r="H8" s="311" t="s">
        <v>296</v>
      </c>
      <c r="I8" s="310" t="s">
        <v>297</v>
      </c>
      <c r="J8" s="310" t="s">
        <v>298</v>
      </c>
      <c r="K8" s="312" t="s">
        <v>299</v>
      </c>
      <c r="L8" s="290"/>
      <c r="M8" s="181" t="s">
        <v>54</v>
      </c>
      <c r="N8" s="182" t="s">
        <v>37</v>
      </c>
      <c r="O8" s="182" t="s">
        <v>55</v>
      </c>
      <c r="P8" s="182" t="s">
        <v>39</v>
      </c>
      <c r="Q8" s="182" t="s">
        <v>56</v>
      </c>
      <c r="R8" s="156"/>
      <c r="S8" s="182" t="s">
        <v>300</v>
      </c>
      <c r="T8" s="182" t="s">
        <v>301</v>
      </c>
      <c r="U8" s="182" t="s">
        <v>302</v>
      </c>
      <c r="X8" s="182" t="s">
        <v>300</v>
      </c>
      <c r="Y8" s="182" t="s">
        <v>301</v>
      </c>
      <c r="Z8" s="182" t="s">
        <v>302</v>
      </c>
      <c r="AC8" s="182" t="s">
        <v>300</v>
      </c>
      <c r="AD8" s="182" t="s">
        <v>301</v>
      </c>
      <c r="AE8" s="182" t="s">
        <v>302</v>
      </c>
    </row>
    <row r="9" spans="2:31" ht="71.5" customHeight="1" x14ac:dyDescent="0.4">
      <c r="B9" s="313" t="s">
        <v>60</v>
      </c>
      <c r="C9" s="291" t="s">
        <v>303</v>
      </c>
      <c r="D9" s="292" t="s">
        <v>304</v>
      </c>
      <c r="E9" s="291">
        <f>ROUNDDOWN(G9/30,0)</f>
        <v>5</v>
      </c>
      <c r="F9" s="291" t="s">
        <v>305</v>
      </c>
      <c r="G9" s="292">
        <v>168</v>
      </c>
      <c r="H9" s="292" t="s">
        <v>305</v>
      </c>
      <c r="I9" s="293" t="s">
        <v>519</v>
      </c>
      <c r="J9" s="293" t="s">
        <v>306</v>
      </c>
      <c r="K9" s="314" t="s">
        <v>307</v>
      </c>
      <c r="L9" s="294"/>
      <c r="M9" s="320" t="s">
        <v>57</v>
      </c>
      <c r="N9" s="321">
        <f>SUM(N10:N16)</f>
        <v>1</v>
      </c>
      <c r="O9" s="321">
        <f t="shared" ref="O9:P9" si="0">SUM(O10:O16)</f>
        <v>0.1</v>
      </c>
      <c r="P9" s="321">
        <f t="shared" si="0"/>
        <v>0</v>
      </c>
      <c r="Q9" s="322">
        <f>AVERAGE(N9:P9)</f>
        <v>0.3666666666666667</v>
      </c>
      <c r="R9" s="192"/>
      <c r="S9" s="295">
        <f>SUM(S10:S16)</f>
        <v>57747271.399999999</v>
      </c>
      <c r="T9" s="295">
        <f t="shared" ref="T9:U9" si="1">SUM(T10:T16)</f>
        <v>6083688</v>
      </c>
      <c r="U9" s="295">
        <f t="shared" si="1"/>
        <v>0</v>
      </c>
      <c r="X9" s="295">
        <f>SUM(X10:X16)</f>
        <v>128845172.3</v>
      </c>
      <c r="Y9" s="295">
        <f t="shared" ref="Y9" si="2">SUM(Y10:Y16)</f>
        <v>6391183.5</v>
      </c>
      <c r="Z9" s="295">
        <f t="shared" ref="Z9" si="3">SUM(Z10:Z16)</f>
        <v>0</v>
      </c>
      <c r="AC9" s="295">
        <f>SUM(AC10:AC16)</f>
        <v>258104119</v>
      </c>
      <c r="AD9" s="295">
        <f t="shared" ref="AD9" si="4">SUM(AD10:AD16)</f>
        <v>17551287</v>
      </c>
      <c r="AE9" s="295">
        <f t="shared" ref="AE9" si="5">SUM(AE10:AE16)</f>
        <v>0</v>
      </c>
    </row>
    <row r="10" spans="2:31" ht="63" x14ac:dyDescent="0.4">
      <c r="B10" s="313" t="s">
        <v>61</v>
      </c>
      <c r="C10" s="291" t="s">
        <v>308</v>
      </c>
      <c r="D10" s="292" t="s">
        <v>309</v>
      </c>
      <c r="E10" s="291">
        <f>G10/30</f>
        <v>2.5</v>
      </c>
      <c r="F10" s="291" t="s">
        <v>305</v>
      </c>
      <c r="G10" s="292">
        <v>75</v>
      </c>
      <c r="H10" s="292" t="s">
        <v>305</v>
      </c>
      <c r="I10" s="293" t="s">
        <v>310</v>
      </c>
      <c r="J10" s="293" t="s">
        <v>311</v>
      </c>
      <c r="K10" s="315" t="s">
        <v>312</v>
      </c>
      <c r="L10" s="296"/>
      <c r="M10" s="140" t="s">
        <v>313</v>
      </c>
      <c r="N10" s="87">
        <f>Input!D29</f>
        <v>0.2</v>
      </c>
      <c r="O10" s="87">
        <f>Input!E29</f>
        <v>0</v>
      </c>
      <c r="P10" s="87">
        <f>Input!F29</f>
        <v>0</v>
      </c>
      <c r="Q10" s="382"/>
      <c r="R10" s="193"/>
      <c r="S10" s="141">
        <f>N10*F49</f>
        <v>405600</v>
      </c>
      <c r="T10" s="141">
        <f>O10*F49</f>
        <v>0</v>
      </c>
      <c r="U10" s="141">
        <f>P10*$F49</f>
        <v>0</v>
      </c>
      <c r="X10" s="141">
        <f t="shared" ref="X10:Z16" si="6">N10*$F81</f>
        <v>9159540</v>
      </c>
      <c r="Y10" s="141">
        <f t="shared" si="6"/>
        <v>0</v>
      </c>
      <c r="Z10" s="141">
        <f t="shared" si="6"/>
        <v>0</v>
      </c>
      <c r="AC10" s="141">
        <f>N10*$F113</f>
        <v>53040000</v>
      </c>
      <c r="AD10" s="141">
        <f>O10*$F113</f>
        <v>0</v>
      </c>
      <c r="AE10" s="141">
        <f>P10*$F113</f>
        <v>0</v>
      </c>
    </row>
    <row r="11" spans="2:31" ht="84" x14ac:dyDescent="0.4">
      <c r="B11" s="313" t="s">
        <v>314</v>
      </c>
      <c r="C11" s="291" t="s">
        <v>315</v>
      </c>
      <c r="D11" s="292" t="s">
        <v>309</v>
      </c>
      <c r="E11" s="297">
        <f>G11/30</f>
        <v>6.6666666666666666E-2</v>
      </c>
      <c r="F11" s="291" t="s">
        <v>305</v>
      </c>
      <c r="G11" s="292">
        <v>2</v>
      </c>
      <c r="H11" s="292" t="s">
        <v>316</v>
      </c>
      <c r="I11" s="293" t="s">
        <v>317</v>
      </c>
      <c r="J11" s="293" t="s">
        <v>318</v>
      </c>
      <c r="K11" s="314" t="s">
        <v>319</v>
      </c>
      <c r="L11" s="296"/>
      <c r="M11" s="140" t="s">
        <v>320</v>
      </c>
      <c r="N11" s="87">
        <f>Input!D30</f>
        <v>0.35</v>
      </c>
      <c r="O11" s="87">
        <f>Input!E30</f>
        <v>0.05</v>
      </c>
      <c r="P11" s="87">
        <f>Input!F30</f>
        <v>0</v>
      </c>
      <c r="Q11" s="382"/>
      <c r="R11" s="193"/>
      <c r="S11" s="141">
        <f t="shared" ref="S11:S16" si="7">N11*F50</f>
        <v>49140</v>
      </c>
      <c r="T11" s="141">
        <f t="shared" ref="T11:T16" si="8">O11*F50</f>
        <v>7020</v>
      </c>
      <c r="U11" s="141">
        <f t="shared" ref="U11:U16" si="9">P11*$F50</f>
        <v>0</v>
      </c>
      <c r="X11" s="141">
        <f t="shared" si="6"/>
        <v>1979113.4999999998</v>
      </c>
      <c r="Y11" s="141">
        <f t="shared" si="6"/>
        <v>282730.5</v>
      </c>
      <c r="Z11" s="141">
        <f t="shared" si="6"/>
        <v>0</v>
      </c>
      <c r="AC11" s="141">
        <f t="shared" ref="AC11:AC16" si="10">N11*$F114</f>
        <v>78195390</v>
      </c>
      <c r="AD11" s="141">
        <f t="shared" ref="AD11:AD16" si="11">O11*$F114</f>
        <v>11170770</v>
      </c>
      <c r="AE11" s="141">
        <f t="shared" ref="AE11:AE16" si="12">P11*$F114</f>
        <v>0</v>
      </c>
    </row>
    <row r="12" spans="2:31" ht="42" x14ac:dyDescent="0.4">
      <c r="B12" s="313" t="s">
        <v>58</v>
      </c>
      <c r="C12" s="291" t="s">
        <v>321</v>
      </c>
      <c r="D12" s="292"/>
      <c r="E12" s="291">
        <v>2</v>
      </c>
      <c r="F12" s="291" t="s">
        <v>322</v>
      </c>
      <c r="G12" s="292">
        <f>E12*30</f>
        <v>60</v>
      </c>
      <c r="H12" s="292" t="s">
        <v>323</v>
      </c>
      <c r="I12" s="293" t="s">
        <v>324</v>
      </c>
      <c r="J12" s="293" t="s">
        <v>325</v>
      </c>
      <c r="K12" s="314" t="s">
        <v>307</v>
      </c>
      <c r="L12" s="296"/>
      <c r="M12" s="140" t="s">
        <v>58</v>
      </c>
      <c r="N12" s="87">
        <f>Input!D31</f>
        <v>0.25</v>
      </c>
      <c r="O12" s="87">
        <f>Input!E31</f>
        <v>0.05</v>
      </c>
      <c r="P12" s="87">
        <f>Input!F31</f>
        <v>0</v>
      </c>
      <c r="Q12" s="382"/>
      <c r="R12" s="193"/>
      <c r="S12" s="141">
        <f t="shared" si="7"/>
        <v>30383340</v>
      </c>
      <c r="T12" s="141">
        <f t="shared" si="8"/>
        <v>6076668</v>
      </c>
      <c r="U12" s="141">
        <f t="shared" si="9"/>
        <v>0</v>
      </c>
      <c r="X12" s="141">
        <f t="shared" si="6"/>
        <v>30542265</v>
      </c>
      <c r="Y12" s="141">
        <f t="shared" si="6"/>
        <v>6108453</v>
      </c>
      <c r="Z12" s="141">
        <f t="shared" si="6"/>
        <v>0</v>
      </c>
      <c r="AC12" s="141">
        <f t="shared" si="10"/>
        <v>31902585</v>
      </c>
      <c r="AD12" s="141">
        <f t="shared" si="11"/>
        <v>6380517</v>
      </c>
      <c r="AE12" s="141">
        <f t="shared" si="12"/>
        <v>0</v>
      </c>
    </row>
    <row r="13" spans="2:31" ht="63" x14ac:dyDescent="0.4">
      <c r="B13" s="313" t="s">
        <v>59</v>
      </c>
      <c r="C13" s="291" t="s">
        <v>321</v>
      </c>
      <c r="D13" s="292"/>
      <c r="E13" s="291">
        <v>3</v>
      </c>
      <c r="F13" s="291" t="s">
        <v>322</v>
      </c>
      <c r="G13" s="292">
        <f>E13*30</f>
        <v>90</v>
      </c>
      <c r="H13" s="292" t="s">
        <v>323</v>
      </c>
      <c r="I13" s="292" t="s">
        <v>326</v>
      </c>
      <c r="J13" s="292" t="s">
        <v>327</v>
      </c>
      <c r="K13" s="314" t="s">
        <v>307</v>
      </c>
      <c r="L13" s="294"/>
      <c r="M13" s="140" t="s">
        <v>59</v>
      </c>
      <c r="N13" s="87">
        <f>Input!D32</f>
        <v>0.1</v>
      </c>
      <c r="O13" s="87">
        <f>Input!E32</f>
        <v>0</v>
      </c>
      <c r="P13" s="87">
        <f>Input!F32</f>
        <v>0</v>
      </c>
      <c r="Q13" s="382"/>
      <c r="R13" s="193"/>
      <c r="S13" s="141">
        <f t="shared" si="7"/>
        <v>11138400</v>
      </c>
      <c r="T13" s="141">
        <f t="shared" si="8"/>
        <v>0</v>
      </c>
      <c r="U13" s="141">
        <f t="shared" si="9"/>
        <v>0</v>
      </c>
      <c r="X13" s="141">
        <f t="shared" si="6"/>
        <v>15564861</v>
      </c>
      <c r="Y13" s="141">
        <f t="shared" si="6"/>
        <v>0</v>
      </c>
      <c r="Z13" s="141">
        <f t="shared" si="6"/>
        <v>0</v>
      </c>
      <c r="AC13" s="141">
        <f t="shared" si="10"/>
        <v>16112187</v>
      </c>
      <c r="AD13" s="141">
        <f t="shared" si="11"/>
        <v>0</v>
      </c>
      <c r="AE13" s="141">
        <f t="shared" si="12"/>
        <v>0</v>
      </c>
    </row>
    <row r="14" spans="2:31" ht="21" x14ac:dyDescent="0.4">
      <c r="B14" s="313" t="s">
        <v>328</v>
      </c>
      <c r="C14" s="291" t="s">
        <v>321</v>
      </c>
      <c r="D14" s="292"/>
      <c r="E14" s="291">
        <v>3</v>
      </c>
      <c r="F14" s="291" t="s">
        <v>322</v>
      </c>
      <c r="G14" s="292">
        <f t="shared" ref="G14:G18" si="13">E14*30</f>
        <v>90</v>
      </c>
      <c r="H14" s="292" t="s">
        <v>323</v>
      </c>
      <c r="I14" s="291" t="s">
        <v>329</v>
      </c>
      <c r="J14" s="291"/>
      <c r="K14" s="314"/>
      <c r="L14" s="294"/>
      <c r="M14" s="140" t="s">
        <v>60</v>
      </c>
      <c r="N14" s="87">
        <f>Input!D33</f>
        <v>0</v>
      </c>
      <c r="O14" s="87">
        <f>Input!E33</f>
        <v>0</v>
      </c>
      <c r="P14" s="87">
        <f>Input!F33</f>
        <v>0</v>
      </c>
      <c r="Q14" s="382"/>
      <c r="R14" s="193"/>
      <c r="S14" s="141">
        <f t="shared" si="7"/>
        <v>0</v>
      </c>
      <c r="T14" s="141">
        <f t="shared" si="8"/>
        <v>0</v>
      </c>
      <c r="U14" s="141">
        <f t="shared" si="9"/>
        <v>0</v>
      </c>
      <c r="X14" s="141">
        <f t="shared" si="6"/>
        <v>0</v>
      </c>
      <c r="Y14" s="141">
        <f t="shared" si="6"/>
        <v>0</v>
      </c>
      <c r="Z14" s="141">
        <f t="shared" si="6"/>
        <v>0</v>
      </c>
      <c r="AC14" s="141">
        <f t="shared" si="10"/>
        <v>0</v>
      </c>
      <c r="AD14" s="141">
        <f t="shared" si="11"/>
        <v>0</v>
      </c>
      <c r="AE14" s="141">
        <f t="shared" si="12"/>
        <v>0</v>
      </c>
    </row>
    <row r="15" spans="2:31" ht="21" x14ac:dyDescent="0.4">
      <c r="B15" s="313" t="s">
        <v>330</v>
      </c>
      <c r="C15" s="291" t="s">
        <v>321</v>
      </c>
      <c r="D15" s="292"/>
      <c r="E15" s="291">
        <v>2</v>
      </c>
      <c r="F15" s="291" t="s">
        <v>322</v>
      </c>
      <c r="G15" s="292">
        <f t="shared" si="13"/>
        <v>60</v>
      </c>
      <c r="H15" s="292" t="s">
        <v>323</v>
      </c>
      <c r="I15" s="291" t="s">
        <v>331</v>
      </c>
      <c r="J15" s="291"/>
      <c r="K15" s="314"/>
      <c r="L15" s="294"/>
      <c r="M15" s="140" t="s">
        <v>332</v>
      </c>
      <c r="N15" s="87">
        <f>Input!D34</f>
        <v>0</v>
      </c>
      <c r="O15" s="87">
        <f>Input!E34</f>
        <v>0</v>
      </c>
      <c r="P15" s="87">
        <f>Input!F34</f>
        <v>0</v>
      </c>
      <c r="Q15" s="382"/>
      <c r="R15" s="193"/>
      <c r="S15" s="141">
        <f t="shared" si="7"/>
        <v>0</v>
      </c>
      <c r="T15" s="141">
        <f t="shared" si="8"/>
        <v>0</v>
      </c>
      <c r="U15" s="141">
        <f t="shared" si="9"/>
        <v>0</v>
      </c>
      <c r="X15" s="141">
        <f t="shared" si="6"/>
        <v>0</v>
      </c>
      <c r="Y15" s="141">
        <f t="shared" si="6"/>
        <v>0</v>
      </c>
      <c r="Z15" s="141">
        <f t="shared" si="6"/>
        <v>0</v>
      </c>
      <c r="AC15" s="141">
        <f t="shared" si="10"/>
        <v>0</v>
      </c>
      <c r="AD15" s="141">
        <f t="shared" si="11"/>
        <v>0</v>
      </c>
      <c r="AE15" s="141">
        <f t="shared" si="12"/>
        <v>0</v>
      </c>
    </row>
    <row r="16" spans="2:31" ht="21" x14ac:dyDescent="0.4">
      <c r="B16" s="313" t="s">
        <v>333</v>
      </c>
      <c r="C16" s="291" t="s">
        <v>321</v>
      </c>
      <c r="D16" s="292"/>
      <c r="E16" s="291">
        <v>2</v>
      </c>
      <c r="F16" s="291" t="s">
        <v>322</v>
      </c>
      <c r="G16" s="292">
        <f t="shared" si="13"/>
        <v>60</v>
      </c>
      <c r="H16" s="292" t="s">
        <v>323</v>
      </c>
      <c r="I16" s="291" t="s">
        <v>334</v>
      </c>
      <c r="J16" s="291"/>
      <c r="K16" s="314"/>
      <c r="M16" s="140" t="s">
        <v>335</v>
      </c>
      <c r="N16" s="87">
        <f>Input!D35</f>
        <v>0.1</v>
      </c>
      <c r="O16" s="87">
        <f>Input!E35</f>
        <v>0</v>
      </c>
      <c r="P16" s="87">
        <f>Input!F35</f>
        <v>0</v>
      </c>
      <c r="Q16" s="382"/>
      <c r="R16" s="193"/>
      <c r="S16" s="141">
        <f t="shared" si="7"/>
        <v>15770791.4</v>
      </c>
      <c r="T16" s="141">
        <f t="shared" si="8"/>
        <v>0</v>
      </c>
      <c r="U16" s="141">
        <f t="shared" si="9"/>
        <v>0</v>
      </c>
      <c r="X16" s="141">
        <f t="shared" si="6"/>
        <v>71599392.799999997</v>
      </c>
      <c r="Y16" s="141">
        <f t="shared" si="6"/>
        <v>0</v>
      </c>
      <c r="Z16" s="141">
        <f t="shared" si="6"/>
        <v>0</v>
      </c>
      <c r="AC16" s="141">
        <f t="shared" si="10"/>
        <v>78853957</v>
      </c>
      <c r="AD16" s="141">
        <f t="shared" si="11"/>
        <v>0</v>
      </c>
      <c r="AE16" s="141">
        <f t="shared" si="12"/>
        <v>0</v>
      </c>
    </row>
    <row r="17" spans="2:31" ht="21" x14ac:dyDescent="0.4">
      <c r="B17" s="313" t="s">
        <v>336</v>
      </c>
      <c r="C17" s="291" t="s">
        <v>321</v>
      </c>
      <c r="D17" s="292"/>
      <c r="E17" s="291">
        <v>2</v>
      </c>
      <c r="F17" s="291" t="s">
        <v>322</v>
      </c>
      <c r="G17" s="292">
        <f t="shared" si="13"/>
        <v>60</v>
      </c>
      <c r="H17" s="292" t="s">
        <v>323</v>
      </c>
      <c r="I17" s="291" t="s">
        <v>337</v>
      </c>
      <c r="J17" s="291"/>
      <c r="K17" s="314"/>
      <c r="M17" s="138" t="s">
        <v>62</v>
      </c>
      <c r="N17" s="169">
        <f>SUM(N18:N28)</f>
        <v>0</v>
      </c>
      <c r="O17" s="169">
        <f>SUM(O18:O28)</f>
        <v>0.9</v>
      </c>
      <c r="P17" s="169">
        <f>SUM(P18:P28)</f>
        <v>0.35</v>
      </c>
      <c r="Q17" s="192">
        <f>AVERAGE(N17:P17)</f>
        <v>0.41666666666666669</v>
      </c>
      <c r="R17" s="192"/>
      <c r="S17" s="187">
        <f>SUM(S18:S28)</f>
        <v>0</v>
      </c>
      <c r="T17" s="187">
        <f>SUM(T18:T28)</f>
        <v>75460827</v>
      </c>
      <c r="U17" s="187">
        <f>SUM(U18:U28)</f>
        <v>44521815</v>
      </c>
      <c r="X17" s="187">
        <f>SUM(X18:X28)</f>
        <v>0</v>
      </c>
      <c r="Y17" s="187">
        <f>SUM(Y18:Y28)</f>
        <v>130536480.75</v>
      </c>
      <c r="Z17" s="187">
        <f>SUM(Z18:Z28)</f>
        <v>73442274.75</v>
      </c>
      <c r="AC17" s="187">
        <f>SUM(AC18:AC28)</f>
        <v>0</v>
      </c>
      <c r="AD17" s="187">
        <f>SUM(AD18:AD28)</f>
        <v>385849093.5</v>
      </c>
      <c r="AE17" s="187">
        <f>SUM(AE18:AE28)</f>
        <v>167616267</v>
      </c>
    </row>
    <row r="18" spans="2:31" ht="20.25" customHeight="1" thickBot="1" x14ac:dyDescent="0.45">
      <c r="B18" s="316" t="s">
        <v>338</v>
      </c>
      <c r="C18" s="317" t="s">
        <v>321</v>
      </c>
      <c r="D18" s="318"/>
      <c r="E18" s="317">
        <v>2</v>
      </c>
      <c r="F18" s="317" t="s">
        <v>322</v>
      </c>
      <c r="G18" s="318">
        <f t="shared" si="13"/>
        <v>60</v>
      </c>
      <c r="H18" s="318" t="s">
        <v>323</v>
      </c>
      <c r="I18" s="317" t="s">
        <v>331</v>
      </c>
      <c r="J18" s="317"/>
      <c r="K18" s="319"/>
      <c r="M18" s="140" t="s">
        <v>63</v>
      </c>
      <c r="N18" s="87">
        <f>Input!D37</f>
        <v>0</v>
      </c>
      <c r="O18" s="87">
        <f>Input!E37</f>
        <v>0.4</v>
      </c>
      <c r="P18" s="87">
        <f>Input!F37</f>
        <v>0.3</v>
      </c>
      <c r="Q18" s="173"/>
      <c r="R18" s="173"/>
      <c r="S18" s="141">
        <f>N18*$F57</f>
        <v>0</v>
      </c>
      <c r="T18" s="141">
        <f>O18*$F57</f>
        <v>45364800</v>
      </c>
      <c r="U18" s="141">
        <f t="shared" ref="U18:U28" si="14">P18*$F57</f>
        <v>34023600</v>
      </c>
      <c r="X18" s="141">
        <f>N18*$F89</f>
        <v>0</v>
      </c>
      <c r="Y18" s="141">
        <f>O18*$F89</f>
        <v>80578524</v>
      </c>
      <c r="Z18" s="141">
        <f>P18*$F89</f>
        <v>60433893</v>
      </c>
      <c r="AC18" s="141">
        <f>N18*$F121</f>
        <v>0</v>
      </c>
      <c r="AD18" s="141">
        <f>O18*$F121</f>
        <v>170528748</v>
      </c>
      <c r="AE18" s="141">
        <f>P18*$F121</f>
        <v>127896561</v>
      </c>
    </row>
    <row r="19" spans="2:31" ht="20.25" customHeight="1" x14ac:dyDescent="0.4">
      <c r="B19" s="298"/>
      <c r="C19" s="294"/>
      <c r="D19" s="294"/>
      <c r="E19" s="294"/>
      <c r="F19" s="294"/>
      <c r="G19" s="296"/>
      <c r="H19" s="296"/>
      <c r="I19" s="299"/>
      <c r="J19" s="299"/>
      <c r="K19" s="294"/>
      <c r="M19" s="140" t="s">
        <v>64</v>
      </c>
      <c r="N19" s="87">
        <f>Input!D38</f>
        <v>0</v>
      </c>
      <c r="O19" s="87">
        <f>Input!E38</f>
        <v>0.1</v>
      </c>
      <c r="P19" s="87">
        <f>Input!F38</f>
        <v>0</v>
      </c>
      <c r="Q19" s="173"/>
      <c r="R19" s="173"/>
      <c r="S19" s="141">
        <f t="shared" ref="S19:S28" si="15">N19*$F58</f>
        <v>0</v>
      </c>
      <c r="T19" s="141">
        <f t="shared" ref="T19:T28" si="16">O19*$F58</f>
        <v>12356136</v>
      </c>
      <c r="U19" s="141">
        <f t="shared" si="14"/>
        <v>0</v>
      </c>
      <c r="X19" s="141">
        <f t="shared" ref="X19:X28" si="17">N19*$F90</f>
        <v>0</v>
      </c>
      <c r="Y19" s="141">
        <f t="shared" ref="Y19:Y28" si="18">O19*$F90</f>
        <v>16796676</v>
      </c>
      <c r="Z19" s="141">
        <f t="shared" ref="Z19:Z28" si="19">P19*$F90</f>
        <v>0</v>
      </c>
      <c r="AC19" s="141">
        <f t="shared" ref="AC19:AC28" si="20">N19*$F122</f>
        <v>0</v>
      </c>
      <c r="AD19" s="141">
        <f t="shared" ref="AD19:AD28" si="21">O19*$F122</f>
        <v>39281034</v>
      </c>
      <c r="AE19" s="141">
        <f t="shared" ref="AE19:AE28" si="22">P19*$F122</f>
        <v>0</v>
      </c>
    </row>
    <row r="20" spans="2:31" ht="20" customHeight="1" thickBot="1" x14ac:dyDescent="0.45">
      <c r="G20" s="139"/>
      <c r="M20" s="140" t="s">
        <v>65</v>
      </c>
      <c r="N20" s="87">
        <f>Input!D39</f>
        <v>0</v>
      </c>
      <c r="O20" s="87">
        <f>Input!E39</f>
        <v>0.1</v>
      </c>
      <c r="P20" s="87">
        <f>Input!F39</f>
        <v>0</v>
      </c>
      <c r="Q20" s="173"/>
      <c r="R20" s="173"/>
      <c r="S20" s="141">
        <f t="shared" si="15"/>
        <v>0</v>
      </c>
      <c r="T20" s="141">
        <f t="shared" si="16"/>
        <v>12167376</v>
      </c>
      <c r="U20" s="141">
        <f t="shared" si="14"/>
        <v>0</v>
      </c>
      <c r="X20" s="141">
        <f t="shared" si="17"/>
        <v>0</v>
      </c>
      <c r="Y20" s="141">
        <f t="shared" si="18"/>
        <v>12782367</v>
      </c>
      <c r="Z20" s="141">
        <f t="shared" si="19"/>
        <v>0</v>
      </c>
      <c r="AC20" s="141">
        <f t="shared" si="20"/>
        <v>0</v>
      </c>
      <c r="AD20" s="141">
        <f t="shared" si="21"/>
        <v>35102574</v>
      </c>
      <c r="AE20" s="141">
        <f t="shared" si="22"/>
        <v>0</v>
      </c>
    </row>
    <row r="21" spans="2:31" ht="54" customHeight="1" x14ac:dyDescent="0.4">
      <c r="B21" s="385" t="s">
        <v>339</v>
      </c>
      <c r="C21" s="385"/>
      <c r="D21" s="385"/>
      <c r="E21" s="385"/>
      <c r="F21" s="385"/>
      <c r="G21" s="159" t="s">
        <v>340</v>
      </c>
      <c r="H21" s="158" t="s">
        <v>341</v>
      </c>
      <c r="M21" s="140" t="s">
        <v>66</v>
      </c>
      <c r="N21" s="87">
        <f>Input!D40</f>
        <v>0</v>
      </c>
      <c r="O21" s="87">
        <f>Input!E40</f>
        <v>0.25</v>
      </c>
      <c r="P21" s="87">
        <f>Input!F40</f>
        <v>0</v>
      </c>
      <c r="Q21" s="173"/>
      <c r="R21" s="173"/>
      <c r="S21" s="141">
        <f t="shared" si="15"/>
        <v>0</v>
      </c>
      <c r="T21" s="141">
        <f t="shared" si="16"/>
        <v>542100</v>
      </c>
      <c r="U21" s="141">
        <f t="shared" si="14"/>
        <v>0</v>
      </c>
      <c r="X21" s="141">
        <f t="shared" si="17"/>
        <v>0</v>
      </c>
      <c r="Y21" s="141">
        <f t="shared" si="18"/>
        <v>12863077.5</v>
      </c>
      <c r="Z21" s="141">
        <f t="shared" si="19"/>
        <v>0</v>
      </c>
      <c r="AC21" s="141">
        <f t="shared" si="20"/>
        <v>0</v>
      </c>
      <c r="AD21" s="141">
        <f t="shared" si="21"/>
        <v>122153850</v>
      </c>
      <c r="AE21" s="141">
        <f t="shared" si="22"/>
        <v>0</v>
      </c>
    </row>
    <row r="22" spans="2:31" ht="20.25" customHeight="1" x14ac:dyDescent="0.4">
      <c r="G22" s="88" t="s">
        <v>342</v>
      </c>
      <c r="H22" s="300">
        <v>0.3</v>
      </c>
      <c r="M22" s="140" t="s">
        <v>67</v>
      </c>
      <c r="N22" s="87">
        <f>Input!D41</f>
        <v>0</v>
      </c>
      <c r="O22" s="87">
        <f>Input!E41</f>
        <v>0.05</v>
      </c>
      <c r="P22" s="87">
        <f>Input!F41</f>
        <v>0</v>
      </c>
      <c r="Q22" s="173"/>
      <c r="R22" s="173"/>
      <c r="S22" s="141">
        <f t="shared" si="15"/>
        <v>0</v>
      </c>
      <c r="T22" s="141">
        <f t="shared" si="16"/>
        <v>5030415</v>
      </c>
      <c r="U22" s="141">
        <f t="shared" si="14"/>
        <v>0</v>
      </c>
      <c r="X22" s="141">
        <f t="shared" si="17"/>
        <v>0</v>
      </c>
      <c r="Y22" s="141">
        <f t="shared" si="18"/>
        <v>7515836.25</v>
      </c>
      <c r="Z22" s="141">
        <f t="shared" si="19"/>
        <v>0</v>
      </c>
      <c r="AC22" s="141">
        <f t="shared" si="20"/>
        <v>0</v>
      </c>
      <c r="AD22" s="141">
        <f t="shared" si="21"/>
        <v>18782887.5</v>
      </c>
      <c r="AE22" s="141">
        <f t="shared" si="22"/>
        <v>0</v>
      </c>
    </row>
    <row r="23" spans="2:31" ht="20.25" customHeight="1" x14ac:dyDescent="0.4">
      <c r="G23" s="88" t="s">
        <v>343</v>
      </c>
      <c r="H23" s="300">
        <v>0.56999999999999995</v>
      </c>
      <c r="M23" s="140" t="s">
        <v>68</v>
      </c>
      <c r="N23" s="87">
        <f>Input!D42</f>
        <v>0</v>
      </c>
      <c r="O23" s="87">
        <f>Input!E42</f>
        <v>0</v>
      </c>
      <c r="P23" s="87">
        <f>Input!F42</f>
        <v>0</v>
      </c>
      <c r="Q23" s="173"/>
      <c r="R23" s="173"/>
      <c r="S23" s="141">
        <f t="shared" si="15"/>
        <v>0</v>
      </c>
      <c r="T23" s="141">
        <f t="shared" si="16"/>
        <v>0</v>
      </c>
      <c r="U23" s="141">
        <f t="shared" si="14"/>
        <v>0</v>
      </c>
      <c r="X23" s="141">
        <f t="shared" si="17"/>
        <v>0</v>
      </c>
      <c r="Y23" s="141">
        <f t="shared" si="18"/>
        <v>0</v>
      </c>
      <c r="Z23" s="141">
        <f t="shared" si="19"/>
        <v>0</v>
      </c>
      <c r="AC23" s="141">
        <f t="shared" si="20"/>
        <v>0</v>
      </c>
      <c r="AD23" s="141">
        <f t="shared" si="21"/>
        <v>0</v>
      </c>
      <c r="AE23" s="141">
        <f t="shared" si="22"/>
        <v>0</v>
      </c>
    </row>
    <row r="24" spans="2:31" ht="21" customHeight="1" thickBot="1" x14ac:dyDescent="0.45">
      <c r="G24" s="89" t="s">
        <v>344</v>
      </c>
      <c r="H24" s="301">
        <v>0.13</v>
      </c>
      <c r="M24" s="140" t="s">
        <v>69</v>
      </c>
      <c r="N24" s="87">
        <f>Input!D43</f>
        <v>0</v>
      </c>
      <c r="O24" s="87">
        <f>Input!E43</f>
        <v>0</v>
      </c>
      <c r="P24" s="87">
        <f>Input!F43</f>
        <v>0</v>
      </c>
      <c r="Q24" s="173"/>
      <c r="R24" s="173"/>
      <c r="S24" s="141">
        <f t="shared" si="15"/>
        <v>0</v>
      </c>
      <c r="T24" s="141">
        <f t="shared" si="16"/>
        <v>0</v>
      </c>
      <c r="U24" s="141">
        <f t="shared" si="14"/>
        <v>0</v>
      </c>
      <c r="X24" s="141">
        <f t="shared" si="17"/>
        <v>0</v>
      </c>
      <c r="Y24" s="141">
        <f t="shared" si="18"/>
        <v>0</v>
      </c>
      <c r="Z24" s="141">
        <f t="shared" si="19"/>
        <v>0</v>
      </c>
      <c r="AC24" s="141">
        <f t="shared" si="20"/>
        <v>0</v>
      </c>
      <c r="AD24" s="141">
        <f t="shared" si="21"/>
        <v>0</v>
      </c>
      <c r="AE24" s="141">
        <f t="shared" si="22"/>
        <v>0</v>
      </c>
    </row>
    <row r="25" spans="2:31" ht="47.5" customHeight="1" x14ac:dyDescent="0.4">
      <c r="G25" s="381" t="s">
        <v>345</v>
      </c>
      <c r="H25" s="381"/>
      <c r="M25" s="140" t="s">
        <v>497</v>
      </c>
      <c r="N25" s="87">
        <f>Input!D44</f>
        <v>0</v>
      </c>
      <c r="O25" s="87">
        <f>Input!E44</f>
        <v>0</v>
      </c>
      <c r="P25" s="87">
        <f>Input!F44</f>
        <v>0</v>
      </c>
      <c r="S25" s="141">
        <f t="shared" si="15"/>
        <v>0</v>
      </c>
      <c r="T25" s="141">
        <f t="shared" si="16"/>
        <v>0</v>
      </c>
      <c r="U25" s="141">
        <f t="shared" si="14"/>
        <v>0</v>
      </c>
      <c r="X25" s="141">
        <f t="shared" si="17"/>
        <v>0</v>
      </c>
      <c r="Y25" s="141">
        <f t="shared" si="18"/>
        <v>0</v>
      </c>
      <c r="Z25" s="141">
        <f t="shared" si="19"/>
        <v>0</v>
      </c>
      <c r="AC25" s="141">
        <f t="shared" si="20"/>
        <v>0</v>
      </c>
      <c r="AD25" s="141">
        <f t="shared" si="21"/>
        <v>0</v>
      </c>
      <c r="AE25" s="141">
        <f t="shared" si="22"/>
        <v>0</v>
      </c>
    </row>
    <row r="26" spans="2:31" ht="20.25" customHeight="1" x14ac:dyDescent="0.4">
      <c r="M26" s="140" t="s">
        <v>70</v>
      </c>
      <c r="N26" s="87">
        <f>Input!D45</f>
        <v>0</v>
      </c>
      <c r="O26" s="87">
        <f>Input!E45</f>
        <v>0</v>
      </c>
      <c r="P26" s="87">
        <f>Input!F45</f>
        <v>0.05</v>
      </c>
      <c r="Q26" s="173"/>
      <c r="R26" s="173"/>
      <c r="S26" s="141">
        <f t="shared" si="15"/>
        <v>0</v>
      </c>
      <c r="T26" s="141">
        <f t="shared" si="16"/>
        <v>0</v>
      </c>
      <c r="U26" s="141">
        <f t="shared" si="14"/>
        <v>10498215</v>
      </c>
      <c r="X26" s="141">
        <f t="shared" si="17"/>
        <v>0</v>
      </c>
      <c r="Y26" s="141">
        <f t="shared" si="18"/>
        <v>0</v>
      </c>
      <c r="Z26" s="141">
        <f t="shared" si="19"/>
        <v>13008381.75</v>
      </c>
      <c r="AC26" s="141">
        <f t="shared" si="20"/>
        <v>0</v>
      </c>
      <c r="AD26" s="141">
        <f t="shared" si="21"/>
        <v>0</v>
      </c>
      <c r="AE26" s="141">
        <f t="shared" si="22"/>
        <v>39719706</v>
      </c>
    </row>
    <row r="27" spans="2:31" ht="20.25" customHeight="1" x14ac:dyDescent="0.4">
      <c r="M27" s="140" t="s">
        <v>71</v>
      </c>
      <c r="N27" s="87">
        <f>Input!D46</f>
        <v>0</v>
      </c>
      <c r="O27" s="87">
        <f>Input!E46</f>
        <v>0</v>
      </c>
      <c r="P27" s="87">
        <f>Input!F46</f>
        <v>0</v>
      </c>
      <c r="Q27" s="173"/>
      <c r="R27" s="173"/>
      <c r="S27" s="141">
        <f t="shared" si="15"/>
        <v>0</v>
      </c>
      <c r="T27" s="141">
        <f t="shared" si="16"/>
        <v>0</v>
      </c>
      <c r="U27" s="141">
        <f t="shared" si="14"/>
        <v>0</v>
      </c>
      <c r="X27" s="141">
        <f t="shared" si="17"/>
        <v>0</v>
      </c>
      <c r="Y27" s="141">
        <f t="shared" si="18"/>
        <v>0</v>
      </c>
      <c r="Z27" s="141">
        <f t="shared" si="19"/>
        <v>0</v>
      </c>
      <c r="AC27" s="141">
        <f t="shared" si="20"/>
        <v>0</v>
      </c>
      <c r="AD27" s="141">
        <f t="shared" si="21"/>
        <v>0</v>
      </c>
      <c r="AE27" s="141">
        <f t="shared" si="22"/>
        <v>0</v>
      </c>
    </row>
    <row r="28" spans="2:31" ht="20.25" customHeight="1" x14ac:dyDescent="0.4">
      <c r="M28" s="140" t="s">
        <v>72</v>
      </c>
      <c r="N28" s="87">
        <f>Input!D47</f>
        <v>0</v>
      </c>
      <c r="O28" s="87">
        <f>Input!E47</f>
        <v>0</v>
      </c>
      <c r="P28" s="87">
        <f>Input!F47</f>
        <v>0</v>
      </c>
      <c r="Q28" s="173"/>
      <c r="R28" s="173"/>
      <c r="S28" s="141">
        <f t="shared" si="15"/>
        <v>0</v>
      </c>
      <c r="T28" s="141">
        <f t="shared" si="16"/>
        <v>0</v>
      </c>
      <c r="U28" s="141">
        <f t="shared" si="14"/>
        <v>0</v>
      </c>
      <c r="X28" s="141">
        <f t="shared" si="17"/>
        <v>0</v>
      </c>
      <c r="Y28" s="141">
        <f t="shared" si="18"/>
        <v>0</v>
      </c>
      <c r="Z28" s="141">
        <f t="shared" si="19"/>
        <v>0</v>
      </c>
      <c r="AC28" s="141">
        <f t="shared" si="20"/>
        <v>0</v>
      </c>
      <c r="AD28" s="141">
        <f t="shared" si="21"/>
        <v>0</v>
      </c>
      <c r="AE28" s="141">
        <f t="shared" si="22"/>
        <v>0</v>
      </c>
    </row>
    <row r="29" spans="2:31" x14ac:dyDescent="0.4">
      <c r="M29" s="138" t="s">
        <v>73</v>
      </c>
      <c r="N29" s="169">
        <f>SUM(N30:N37)</f>
        <v>0</v>
      </c>
      <c r="O29" s="169">
        <f t="shared" ref="O29:P29" si="23">SUM(O30:O37)</f>
        <v>0</v>
      </c>
      <c r="P29" s="169">
        <f t="shared" si="23"/>
        <v>0.65</v>
      </c>
      <c r="Q29" s="192">
        <f>AVERAGE(N29:P29)</f>
        <v>0.21666666666666667</v>
      </c>
      <c r="R29" s="192"/>
      <c r="S29" s="302">
        <f>SUM(S30:S37)</f>
        <v>0</v>
      </c>
      <c r="T29" s="302">
        <f>SUM(T30:T37)</f>
        <v>0</v>
      </c>
      <c r="U29" s="187">
        <f>SUM(U30:U37)</f>
        <v>106782997.62</v>
      </c>
      <c r="X29" s="187">
        <f>SUM(X30:X37)</f>
        <v>0</v>
      </c>
      <c r="Y29" s="302">
        <f>SUM(Y30:Y37)</f>
        <v>0</v>
      </c>
      <c r="Z29" s="187">
        <f>SUM(Z30:Z37)</f>
        <v>345471210.24000001</v>
      </c>
      <c r="AC29" s="187">
        <f>SUM(AC30:AC37)</f>
        <v>0</v>
      </c>
      <c r="AD29" s="187">
        <f>SUM(AD30:AD37)</f>
        <v>0</v>
      </c>
      <c r="AE29" s="187">
        <f>SUM(AE30:AE37)</f>
        <v>620094033</v>
      </c>
    </row>
    <row r="30" spans="2:31" ht="20.25" customHeight="1" x14ac:dyDescent="0.4">
      <c r="M30" s="140" t="s">
        <v>74</v>
      </c>
      <c r="N30" s="87">
        <f>Input!D49</f>
        <v>0</v>
      </c>
      <c r="O30" s="87">
        <f>Input!E49</f>
        <v>0</v>
      </c>
      <c r="P30" s="87">
        <f>Input!F49</f>
        <v>0.23</v>
      </c>
      <c r="Q30" s="137"/>
      <c r="R30" s="137"/>
      <c r="S30" s="141">
        <f>N30*$F69</f>
        <v>0</v>
      </c>
      <c r="T30" s="141">
        <f>O30*$F69</f>
        <v>0</v>
      </c>
      <c r="U30" s="141">
        <f>P30*$F69</f>
        <v>36771552.219999999</v>
      </c>
      <c r="X30" s="141">
        <f>N30*$F101</f>
        <v>0</v>
      </c>
      <c r="Y30" s="141">
        <f>O30*$F101</f>
        <v>0</v>
      </c>
      <c r="Z30" s="141">
        <f>P30*$F101</f>
        <v>176512634.74000001</v>
      </c>
      <c r="AC30" s="141">
        <f>N30*$F132</f>
        <v>0</v>
      </c>
      <c r="AD30" s="141">
        <f>O30*$F132</f>
        <v>0</v>
      </c>
      <c r="AE30" s="141">
        <f>P30*$F132</f>
        <v>293745643.10000002</v>
      </c>
    </row>
    <row r="31" spans="2:31" ht="20.25" customHeight="1" x14ac:dyDescent="0.4">
      <c r="M31" s="140" t="s">
        <v>75</v>
      </c>
      <c r="N31" s="87">
        <f>Input!D50</f>
        <v>0</v>
      </c>
      <c r="O31" s="87">
        <f>Input!E50</f>
        <v>0</v>
      </c>
      <c r="P31" s="87">
        <f>Input!F50</f>
        <v>0.05</v>
      </c>
      <c r="Q31" s="137"/>
      <c r="R31" s="137"/>
      <c r="S31" s="141">
        <f t="shared" ref="S31:S37" si="24">N31*$F70</f>
        <v>0</v>
      </c>
      <c r="T31" s="141">
        <f t="shared" ref="T31:T37" si="25">O31*$F70</f>
        <v>0</v>
      </c>
      <c r="U31" s="141">
        <f t="shared" ref="U31:U36" si="26">P31*$F70</f>
        <v>5360355</v>
      </c>
      <c r="X31" s="141">
        <f t="shared" ref="X31:X37" si="27">N31*$F102</f>
        <v>0</v>
      </c>
      <c r="Y31" s="141">
        <f t="shared" ref="Y31:Y37" si="28">O31*$F102</f>
        <v>0</v>
      </c>
      <c r="Z31" s="141">
        <f t="shared" ref="Z31:Z37" si="29">P31*$F102</f>
        <v>16339323</v>
      </c>
      <c r="AC31" s="141">
        <f t="shared" ref="AC31:AC37" si="30">N31*$F133</f>
        <v>0</v>
      </c>
      <c r="AD31" s="141">
        <f t="shared" ref="AD31:AD37" si="31">O31*$F133</f>
        <v>0</v>
      </c>
      <c r="AE31" s="141">
        <f t="shared" ref="AE31:AE37" si="32">P31*$F133</f>
        <v>42834382.5</v>
      </c>
    </row>
    <row r="32" spans="2:31" ht="20.25" customHeight="1" x14ac:dyDescent="0.4">
      <c r="M32" s="140" t="s">
        <v>76</v>
      </c>
      <c r="N32" s="87">
        <f>Input!D51</f>
        <v>0</v>
      </c>
      <c r="O32" s="87">
        <f>Input!E51</f>
        <v>0</v>
      </c>
      <c r="P32" s="87">
        <f>Input!F51</f>
        <v>0.1</v>
      </c>
      <c r="Q32" s="137"/>
      <c r="R32" s="137"/>
      <c r="S32" s="141">
        <f t="shared" si="24"/>
        <v>0</v>
      </c>
      <c r="T32" s="141">
        <f t="shared" si="25"/>
        <v>0</v>
      </c>
      <c r="U32" s="141">
        <f t="shared" si="26"/>
        <v>10074870</v>
      </c>
      <c r="X32" s="141">
        <f t="shared" si="27"/>
        <v>0</v>
      </c>
      <c r="Y32" s="141">
        <f t="shared" si="28"/>
        <v>0</v>
      </c>
      <c r="Z32" s="141">
        <f t="shared" si="29"/>
        <v>15597133.5</v>
      </c>
      <c r="AC32" s="141">
        <f t="shared" si="30"/>
        <v>0</v>
      </c>
      <c r="AD32" s="141">
        <f t="shared" si="31"/>
        <v>0</v>
      </c>
      <c r="AE32" s="141">
        <f t="shared" si="32"/>
        <v>59907315</v>
      </c>
    </row>
    <row r="33" spans="2:32" ht="20.25" customHeight="1" x14ac:dyDescent="0.4">
      <c r="M33" s="140" t="s">
        <v>498</v>
      </c>
      <c r="N33" s="87">
        <f>Input!D52</f>
        <v>0</v>
      </c>
      <c r="O33" s="87">
        <f>Input!E52</f>
        <v>0</v>
      </c>
      <c r="P33" s="87">
        <f>Input!F52</f>
        <v>0.1</v>
      </c>
      <c r="Q33" s="137"/>
      <c r="R33" s="137"/>
      <c r="S33" s="141">
        <f t="shared" si="24"/>
        <v>0</v>
      </c>
      <c r="T33" s="141">
        <f t="shared" si="25"/>
        <v>0</v>
      </c>
      <c r="U33" s="141">
        <f t="shared" si="26"/>
        <v>12370176</v>
      </c>
      <c r="X33" s="141">
        <f t="shared" si="27"/>
        <v>0</v>
      </c>
      <c r="Y33" s="141">
        <f t="shared" si="28"/>
        <v>0</v>
      </c>
      <c r="Z33" s="141">
        <f t="shared" si="29"/>
        <v>17362137</v>
      </c>
      <c r="AC33" s="141">
        <f t="shared" si="30"/>
        <v>0</v>
      </c>
      <c r="AD33" s="141">
        <f t="shared" si="31"/>
        <v>0</v>
      </c>
      <c r="AE33" s="141">
        <f t="shared" si="32"/>
        <v>48861540</v>
      </c>
    </row>
    <row r="34" spans="2:32" ht="20.25" customHeight="1" x14ac:dyDescent="0.4">
      <c r="M34" s="140" t="s">
        <v>499</v>
      </c>
      <c r="N34" s="87">
        <f>Input!D53</f>
        <v>0</v>
      </c>
      <c r="O34" s="87">
        <f>Input!E53</f>
        <v>0</v>
      </c>
      <c r="P34" s="87">
        <f>Input!F53</f>
        <v>0</v>
      </c>
      <c r="Q34" s="137"/>
      <c r="R34" s="137"/>
      <c r="S34" s="141">
        <f t="shared" si="24"/>
        <v>0</v>
      </c>
      <c r="T34" s="141">
        <f t="shared" si="25"/>
        <v>0</v>
      </c>
      <c r="U34" s="141">
        <f t="shared" si="26"/>
        <v>0</v>
      </c>
      <c r="X34" s="141">
        <f t="shared" si="27"/>
        <v>0</v>
      </c>
      <c r="Y34" s="141">
        <f t="shared" si="28"/>
        <v>0</v>
      </c>
      <c r="Z34" s="141">
        <f t="shared" si="29"/>
        <v>0</v>
      </c>
      <c r="AC34" s="141">
        <f t="shared" si="30"/>
        <v>0</v>
      </c>
      <c r="AD34" s="141">
        <f t="shared" si="31"/>
        <v>0</v>
      </c>
      <c r="AE34" s="141">
        <f t="shared" si="32"/>
        <v>0</v>
      </c>
    </row>
    <row r="35" spans="2:32" ht="20.25" customHeight="1" x14ac:dyDescent="0.4">
      <c r="M35" s="140" t="s">
        <v>77</v>
      </c>
      <c r="N35" s="87">
        <f>Input!D54</f>
        <v>0</v>
      </c>
      <c r="O35" s="87">
        <f>Input!E54</f>
        <v>0</v>
      </c>
      <c r="P35" s="87">
        <f>Input!F54</f>
        <v>0.1</v>
      </c>
      <c r="Q35" s="137"/>
      <c r="R35" s="137"/>
      <c r="S35" s="141">
        <f t="shared" si="24"/>
        <v>0</v>
      </c>
      <c r="T35" s="141">
        <f t="shared" si="25"/>
        <v>0</v>
      </c>
      <c r="U35" s="141">
        <f t="shared" si="26"/>
        <v>27111991.400000002</v>
      </c>
      <c r="X35" s="141">
        <f t="shared" si="27"/>
        <v>0</v>
      </c>
      <c r="Y35" s="141">
        <f t="shared" si="28"/>
        <v>0</v>
      </c>
      <c r="Z35" s="141">
        <f t="shared" si="29"/>
        <v>91744023.800000012</v>
      </c>
      <c r="AC35" s="141">
        <f t="shared" si="30"/>
        <v>0</v>
      </c>
      <c r="AD35" s="141">
        <f t="shared" si="31"/>
        <v>0</v>
      </c>
      <c r="AE35" s="141">
        <f t="shared" si="32"/>
        <v>121486144</v>
      </c>
    </row>
    <row r="36" spans="2:32" ht="20.5" customHeight="1" x14ac:dyDescent="0.4">
      <c r="M36" s="140" t="s">
        <v>78</v>
      </c>
      <c r="N36" s="87">
        <f>Input!D55</f>
        <v>0</v>
      </c>
      <c r="O36" s="87">
        <f>Input!E55</f>
        <v>0</v>
      </c>
      <c r="P36" s="87">
        <f>Input!F55</f>
        <v>0.03</v>
      </c>
      <c r="Q36" s="137"/>
      <c r="R36" s="137"/>
      <c r="S36" s="141">
        <f t="shared" si="24"/>
        <v>0</v>
      </c>
      <c r="T36" s="141">
        <f t="shared" si="25"/>
        <v>0</v>
      </c>
      <c r="U36" s="141">
        <f t="shared" si="26"/>
        <v>6614361</v>
      </c>
      <c r="X36" s="141">
        <f t="shared" si="27"/>
        <v>0</v>
      </c>
      <c r="Y36" s="141">
        <f t="shared" si="28"/>
        <v>0</v>
      </c>
      <c r="Z36" s="141">
        <f t="shared" si="29"/>
        <v>15677344.799999999</v>
      </c>
      <c r="AC36" s="141">
        <f t="shared" si="30"/>
        <v>0</v>
      </c>
      <c r="AD36" s="141">
        <f t="shared" si="31"/>
        <v>0</v>
      </c>
      <c r="AE36" s="141">
        <f t="shared" si="32"/>
        <v>31787823.599999998</v>
      </c>
    </row>
    <row r="37" spans="2:32" ht="20.25" customHeight="1" thickBot="1" x14ac:dyDescent="0.45">
      <c r="M37" s="140" t="s">
        <v>79</v>
      </c>
      <c r="N37" s="87">
        <f>Input!D56</f>
        <v>0</v>
      </c>
      <c r="O37" s="87">
        <f>Input!E56</f>
        <v>0</v>
      </c>
      <c r="P37" s="87">
        <f>Input!F56</f>
        <v>0.04</v>
      </c>
      <c r="Q37" s="137"/>
      <c r="R37" s="137"/>
      <c r="S37" s="141">
        <f t="shared" si="24"/>
        <v>0</v>
      </c>
      <c r="T37" s="141">
        <f t="shared" si="25"/>
        <v>0</v>
      </c>
      <c r="U37" s="141">
        <f>P37*$F76</f>
        <v>8479692</v>
      </c>
      <c r="X37" s="141">
        <f t="shared" si="27"/>
        <v>0</v>
      </c>
      <c r="Y37" s="141">
        <f t="shared" si="28"/>
        <v>0</v>
      </c>
      <c r="Z37" s="141">
        <f t="shared" si="29"/>
        <v>12238613.4</v>
      </c>
      <c r="AC37" s="141">
        <f t="shared" si="30"/>
        <v>0</v>
      </c>
      <c r="AD37" s="141">
        <f t="shared" si="31"/>
        <v>0</v>
      </c>
      <c r="AE37" s="141">
        <f t="shared" si="32"/>
        <v>21471184.800000001</v>
      </c>
    </row>
    <row r="38" spans="2:32" ht="40.5" customHeight="1" thickBot="1" x14ac:dyDescent="0.45">
      <c r="M38" s="140"/>
      <c r="N38" s="323">
        <f>SUM(N9,N17,N29)</f>
        <v>1</v>
      </c>
      <c r="O38" s="323">
        <f>SUM(O9,O17,O29)</f>
        <v>1</v>
      </c>
      <c r="P38" s="323">
        <f>SUM(P9,P17,P29)</f>
        <v>1</v>
      </c>
      <c r="Q38" s="137"/>
      <c r="R38" s="137"/>
      <c r="S38" s="187">
        <f>SUM(S9,S17,S29)</f>
        <v>57747271.399999999</v>
      </c>
      <c r="T38" s="187">
        <f>SUM(T9,T17,T29)</f>
        <v>81544515</v>
      </c>
      <c r="U38" s="324">
        <f>SUM(U9,U17,U29)</f>
        <v>151304812.62</v>
      </c>
      <c r="V38" s="303">
        <f>AVERAGE(S38:U38)</f>
        <v>96865533.00666666</v>
      </c>
      <c r="W38" s="258"/>
      <c r="X38" s="187">
        <f>SUM(X9,X17,X29)</f>
        <v>128845172.3</v>
      </c>
      <c r="Y38" s="187">
        <f>SUM(Y9,Y17,Y29)</f>
        <v>136927664.25</v>
      </c>
      <c r="Z38" s="324">
        <f>SUM(Z9,Z17,Z29)</f>
        <v>418913484.99000001</v>
      </c>
      <c r="AA38" s="303">
        <f>AVERAGE(X38:Z38)</f>
        <v>228228773.84666666</v>
      </c>
      <c r="AB38" s="258"/>
      <c r="AC38" s="187">
        <f>SUM(AC9,AC17,AC29)</f>
        <v>258104119</v>
      </c>
      <c r="AD38" s="187">
        <f>SUM(AD9,AD17,AD29)</f>
        <v>403400380.5</v>
      </c>
      <c r="AE38" s="324">
        <f>SUM(AE9,AE17,AE29)</f>
        <v>787710300</v>
      </c>
      <c r="AF38" s="303">
        <f>AVERAGE(AC38:AE38)</f>
        <v>483071599.83333331</v>
      </c>
    </row>
    <row r="39" spans="2:32" x14ac:dyDescent="0.4"/>
    <row r="40" spans="2:32" ht="20.5" customHeight="1" x14ac:dyDescent="0.4">
      <c r="Q40" s="173"/>
      <c r="R40" s="173"/>
      <c r="T40" s="173"/>
    </row>
    <row r="41" spans="2:32" ht="20.5" customHeight="1" x14ac:dyDescent="0.4">
      <c r="M41" s="140"/>
      <c r="N41" s="137"/>
      <c r="O41" s="137"/>
      <c r="P41" s="137"/>
      <c r="Q41" s="137"/>
      <c r="R41" s="137"/>
    </row>
    <row r="42" spans="2:32" ht="20.5" customHeight="1" x14ac:dyDescent="0.4">
      <c r="M42" s="140"/>
      <c r="N42" s="137"/>
      <c r="O42" s="137"/>
      <c r="P42" s="137"/>
      <c r="Q42" s="137"/>
      <c r="R42" s="137"/>
    </row>
    <row r="43" spans="2:32" ht="20.5" customHeight="1" x14ac:dyDescent="0.4">
      <c r="M43" s="140"/>
      <c r="N43" s="137"/>
      <c r="O43" s="137"/>
      <c r="P43" s="137"/>
      <c r="Q43" s="137"/>
      <c r="R43" s="137"/>
    </row>
    <row r="44" spans="2:32" ht="20.5" customHeight="1" x14ac:dyDescent="0.4">
      <c r="M44" s="140"/>
      <c r="N44" s="137"/>
      <c r="O44" s="137"/>
      <c r="P44" s="137"/>
      <c r="Q44" s="137"/>
      <c r="R44" s="137"/>
    </row>
    <row r="45" spans="2:32" ht="20.5" customHeight="1" x14ac:dyDescent="0.4">
      <c r="B45" s="139" t="s">
        <v>346</v>
      </c>
      <c r="C45" s="139"/>
      <c r="D45" s="139"/>
      <c r="E45" s="139"/>
      <c r="F45" s="139"/>
      <c r="M45" s="140"/>
      <c r="N45" s="137"/>
      <c r="O45" s="137"/>
      <c r="P45" s="137"/>
      <c r="Q45" s="137"/>
      <c r="R45" s="137"/>
    </row>
    <row r="46" spans="2:32" ht="20.5" customHeight="1" x14ac:dyDescent="0.4">
      <c r="B46" s="384" t="s">
        <v>57</v>
      </c>
      <c r="C46" s="380" t="s">
        <v>347</v>
      </c>
      <c r="D46" s="380"/>
      <c r="E46" s="380"/>
      <c r="F46" s="380"/>
      <c r="G46" s="140" t="s">
        <v>348</v>
      </c>
      <c r="M46" s="140"/>
      <c r="N46" s="137"/>
      <c r="O46" s="137"/>
      <c r="P46" s="137"/>
      <c r="Q46" s="137"/>
      <c r="R46" s="137"/>
    </row>
    <row r="47" spans="2:32" ht="20.5" customHeight="1" x14ac:dyDescent="0.4">
      <c r="B47" s="384"/>
      <c r="C47" s="154" t="s">
        <v>349</v>
      </c>
      <c r="D47" s="154" t="s">
        <v>350</v>
      </c>
      <c r="E47" s="154" t="s">
        <v>351</v>
      </c>
      <c r="F47" s="154" t="s">
        <v>352</v>
      </c>
      <c r="G47" s="140" t="s">
        <v>88</v>
      </c>
      <c r="M47" s="140"/>
      <c r="N47" s="137"/>
      <c r="O47" s="137"/>
      <c r="P47" s="137"/>
      <c r="Q47" s="137"/>
      <c r="R47" s="137"/>
    </row>
    <row r="48" spans="2:32" x14ac:dyDescent="0.4">
      <c r="B48" s="386" t="s">
        <v>57</v>
      </c>
      <c r="C48" s="387"/>
      <c r="D48" s="387"/>
      <c r="E48" s="387"/>
      <c r="F48" s="388"/>
    </row>
    <row r="49" spans="2:18" ht="20.5" customHeight="1" x14ac:dyDescent="0.4">
      <c r="B49" s="304" t="s">
        <v>313</v>
      </c>
      <c r="C49" s="305">
        <v>2600</v>
      </c>
      <c r="D49" s="305">
        <f>C49*E16</f>
        <v>5200</v>
      </c>
      <c r="E49" s="305">
        <f t="shared" ref="E49:E55" si="33">D49*30</f>
        <v>156000</v>
      </c>
      <c r="F49" s="305">
        <f t="shared" ref="F49:F55" si="34">E49*13</f>
        <v>2028000</v>
      </c>
      <c r="G49" s="140" t="s">
        <v>353</v>
      </c>
      <c r="M49" s="140"/>
      <c r="N49" s="137"/>
      <c r="O49" s="137"/>
      <c r="P49" s="137"/>
      <c r="Q49" s="137"/>
      <c r="R49" s="137"/>
    </row>
    <row r="50" spans="2:18" ht="32.25" customHeight="1" x14ac:dyDescent="0.4">
      <c r="B50" s="304" t="s">
        <v>320</v>
      </c>
      <c r="C50" s="305">
        <v>120</v>
      </c>
      <c r="D50" s="305">
        <f>C50*E14</f>
        <v>360</v>
      </c>
      <c r="E50" s="305">
        <f t="shared" si="33"/>
        <v>10800</v>
      </c>
      <c r="F50" s="305">
        <f t="shared" si="34"/>
        <v>140400</v>
      </c>
      <c r="G50" s="140" t="s">
        <v>354</v>
      </c>
      <c r="M50" s="140"/>
      <c r="N50" s="137"/>
      <c r="O50" s="137"/>
      <c r="P50" s="137"/>
      <c r="Q50" s="137"/>
      <c r="R50" s="137"/>
    </row>
    <row r="51" spans="2:18" ht="20.5" customHeight="1" x14ac:dyDescent="0.4">
      <c r="B51" s="304" t="s">
        <v>58</v>
      </c>
      <c r="C51" s="305">
        <v>155812</v>
      </c>
      <c r="D51" s="305">
        <f>C51*E12</f>
        <v>311624</v>
      </c>
      <c r="E51" s="305">
        <f t="shared" si="33"/>
        <v>9348720</v>
      </c>
      <c r="F51" s="305">
        <f t="shared" si="34"/>
        <v>121533360</v>
      </c>
      <c r="M51" s="140"/>
      <c r="N51" s="137"/>
      <c r="O51" s="137"/>
      <c r="P51" s="137"/>
      <c r="Q51" s="137"/>
      <c r="R51" s="137"/>
    </row>
    <row r="52" spans="2:18" ht="20.5" customHeight="1" x14ac:dyDescent="0.4">
      <c r="B52" s="304" t="s">
        <v>59</v>
      </c>
      <c r="C52" s="305">
        <v>95200</v>
      </c>
      <c r="D52" s="306">
        <f>C52*E13</f>
        <v>285600</v>
      </c>
      <c r="E52" s="305">
        <f t="shared" si="33"/>
        <v>8568000</v>
      </c>
      <c r="F52" s="305">
        <f t="shared" si="34"/>
        <v>111384000</v>
      </c>
      <c r="G52" s="140" t="s">
        <v>355</v>
      </c>
      <c r="M52" s="140"/>
      <c r="N52" s="137"/>
      <c r="O52" s="137"/>
      <c r="P52" s="137"/>
      <c r="Q52" s="137"/>
      <c r="R52" s="137"/>
    </row>
    <row r="53" spans="2:18" ht="21" x14ac:dyDescent="0.4">
      <c r="B53" s="304" t="s">
        <v>60</v>
      </c>
      <c r="C53" s="305">
        <v>54906</v>
      </c>
      <c r="D53" s="305">
        <f>C53*E9</f>
        <v>274530</v>
      </c>
      <c r="E53" s="305">
        <f t="shared" si="33"/>
        <v>8235900</v>
      </c>
      <c r="F53" s="305">
        <f t="shared" si="34"/>
        <v>107066700</v>
      </c>
      <c r="G53" s="140" t="s">
        <v>356</v>
      </c>
    </row>
    <row r="54" spans="2:18" ht="21" x14ac:dyDescent="0.4">
      <c r="B54" s="304" t="s">
        <v>332</v>
      </c>
      <c r="C54" s="305">
        <v>101108</v>
      </c>
      <c r="D54" s="305">
        <f>C54*E10</f>
        <v>252770</v>
      </c>
      <c r="E54" s="305">
        <f t="shared" si="33"/>
        <v>7583100</v>
      </c>
      <c r="F54" s="305">
        <f t="shared" si="34"/>
        <v>98580300</v>
      </c>
      <c r="G54" s="140" t="s">
        <v>357</v>
      </c>
    </row>
    <row r="55" spans="2:18" ht="40" x14ac:dyDescent="0.4">
      <c r="B55" s="304" t="s">
        <v>335</v>
      </c>
      <c r="C55" s="305">
        <v>6065689</v>
      </c>
      <c r="D55" s="305">
        <f>C55*E11</f>
        <v>404379.26666666666</v>
      </c>
      <c r="E55" s="305">
        <f t="shared" si="33"/>
        <v>12131378</v>
      </c>
      <c r="F55" s="305">
        <f t="shared" si="34"/>
        <v>157707914</v>
      </c>
      <c r="G55" s="140" t="s">
        <v>358</v>
      </c>
    </row>
    <row r="56" spans="2:18" ht="20.5" customHeight="1" x14ac:dyDescent="0.4">
      <c r="B56" s="386" t="s">
        <v>359</v>
      </c>
      <c r="C56" s="387"/>
      <c r="D56" s="387"/>
      <c r="E56" s="387"/>
      <c r="F56" s="388"/>
      <c r="M56" s="140"/>
      <c r="N56" s="137"/>
      <c r="O56" s="137"/>
      <c r="P56" s="137"/>
      <c r="Q56" s="137"/>
      <c r="R56" s="137"/>
    </row>
    <row r="57" spans="2:18" ht="20.5" customHeight="1" x14ac:dyDescent="0.4">
      <c r="B57" s="304" t="s">
        <v>63</v>
      </c>
      <c r="C57" s="305"/>
      <c r="D57" s="305"/>
      <c r="E57" s="305"/>
      <c r="F57" s="305">
        <f>F49+F52</f>
        <v>113412000</v>
      </c>
      <c r="M57" s="140"/>
      <c r="N57" s="137"/>
      <c r="O57" s="137"/>
      <c r="P57" s="137"/>
      <c r="Q57" s="137"/>
      <c r="R57" s="137"/>
    </row>
    <row r="58" spans="2:18" ht="20.5" customHeight="1" x14ac:dyDescent="0.4">
      <c r="B58" s="304" t="s">
        <v>64</v>
      </c>
      <c r="C58" s="305"/>
      <c r="D58" s="305"/>
      <c r="E58" s="305"/>
      <c r="F58" s="305">
        <f>F49+F51</f>
        <v>123561360</v>
      </c>
      <c r="M58" s="140"/>
      <c r="N58" s="137"/>
      <c r="O58" s="137"/>
      <c r="P58" s="137"/>
      <c r="Q58" s="137"/>
      <c r="R58" s="137"/>
    </row>
    <row r="59" spans="2:18" ht="20.5" customHeight="1" x14ac:dyDescent="0.4">
      <c r="B59" s="304" t="s">
        <v>65</v>
      </c>
      <c r="C59" s="305"/>
      <c r="D59" s="305"/>
      <c r="E59" s="305"/>
      <c r="F59" s="305">
        <f>F50+F51</f>
        <v>121673760</v>
      </c>
      <c r="M59" s="140"/>
      <c r="N59" s="137"/>
      <c r="O59" s="137"/>
      <c r="P59" s="137"/>
      <c r="Q59" s="137"/>
      <c r="R59" s="137"/>
    </row>
    <row r="60" spans="2:18" ht="20.5" customHeight="1" x14ac:dyDescent="0.4">
      <c r="B60" s="304" t="s">
        <v>66</v>
      </c>
      <c r="C60" s="305"/>
      <c r="D60" s="305"/>
      <c r="E60" s="305"/>
      <c r="F60" s="305">
        <f>F49+F50</f>
        <v>2168400</v>
      </c>
      <c r="M60" s="140"/>
      <c r="N60" s="137"/>
      <c r="O60" s="137"/>
      <c r="P60" s="137"/>
      <c r="Q60" s="137"/>
      <c r="R60" s="137"/>
    </row>
    <row r="61" spans="2:18" ht="21" x14ac:dyDescent="0.4">
      <c r="B61" s="304" t="s">
        <v>67</v>
      </c>
      <c r="C61" s="305"/>
      <c r="D61" s="305"/>
      <c r="E61" s="305"/>
      <c r="F61" s="305">
        <f>F49+F54</f>
        <v>100608300</v>
      </c>
      <c r="M61" s="140"/>
      <c r="N61" s="137"/>
      <c r="O61" s="137"/>
      <c r="P61" s="137"/>
      <c r="Q61" s="137"/>
      <c r="R61" s="137"/>
    </row>
    <row r="62" spans="2:18" ht="20.5" customHeight="1" x14ac:dyDescent="0.4">
      <c r="B62" s="304" t="s">
        <v>68</v>
      </c>
      <c r="C62" s="305"/>
      <c r="D62" s="305"/>
      <c r="E62" s="305"/>
      <c r="F62" s="305">
        <f>F49+F53</f>
        <v>109094700</v>
      </c>
      <c r="M62" s="140"/>
      <c r="N62" s="137"/>
      <c r="O62" s="137"/>
      <c r="P62" s="137"/>
      <c r="Q62" s="137"/>
      <c r="R62" s="137"/>
    </row>
    <row r="63" spans="2:18" ht="20.5" customHeight="1" x14ac:dyDescent="0.4">
      <c r="B63" s="304" t="s">
        <v>69</v>
      </c>
      <c r="C63" s="305"/>
      <c r="D63" s="305"/>
      <c r="E63" s="305"/>
      <c r="F63" s="305">
        <f>F49+F55</f>
        <v>159735914</v>
      </c>
      <c r="M63" s="140"/>
      <c r="N63" s="137"/>
      <c r="O63" s="137"/>
      <c r="P63" s="137"/>
      <c r="Q63" s="137"/>
      <c r="R63" s="137"/>
    </row>
    <row r="64" spans="2:18" ht="20.5" customHeight="1" x14ac:dyDescent="0.4">
      <c r="B64" s="304" t="s">
        <v>497</v>
      </c>
      <c r="C64" s="305"/>
      <c r="D64" s="305"/>
      <c r="E64" s="305"/>
      <c r="F64" s="305">
        <f>F52+F51</f>
        <v>232917360</v>
      </c>
      <c r="M64" s="140"/>
      <c r="N64" s="137"/>
      <c r="O64" s="137"/>
      <c r="P64" s="137"/>
      <c r="Q64" s="137"/>
      <c r="R64" s="137"/>
    </row>
    <row r="65" spans="2:19" ht="20.5" customHeight="1" x14ac:dyDescent="0.4">
      <c r="B65" s="304" t="s">
        <v>70</v>
      </c>
      <c r="C65" s="305"/>
      <c r="D65" s="305"/>
      <c r="E65" s="305"/>
      <c r="F65" s="305">
        <f>F52+F54</f>
        <v>209964300</v>
      </c>
      <c r="M65" s="140"/>
      <c r="N65" s="137"/>
      <c r="O65" s="137"/>
      <c r="P65" s="137"/>
      <c r="Q65" s="137"/>
      <c r="R65" s="137"/>
    </row>
    <row r="66" spans="2:19" ht="20.5" customHeight="1" x14ac:dyDescent="0.4">
      <c r="B66" s="304" t="s">
        <v>71</v>
      </c>
      <c r="C66" s="305"/>
      <c r="D66" s="305"/>
      <c r="E66" s="305"/>
      <c r="F66" s="305">
        <f>F52+F53</f>
        <v>218450700</v>
      </c>
      <c r="M66" s="140"/>
      <c r="N66" s="137"/>
      <c r="O66" s="137"/>
      <c r="P66" s="137"/>
      <c r="Q66" s="137"/>
      <c r="R66" s="137"/>
    </row>
    <row r="67" spans="2:19" ht="20.5" customHeight="1" x14ac:dyDescent="0.4">
      <c r="B67" s="304" t="s">
        <v>72</v>
      </c>
      <c r="C67" s="305"/>
      <c r="D67" s="305"/>
      <c r="E67" s="305"/>
      <c r="F67" s="305">
        <f>F52+F55</f>
        <v>269091914</v>
      </c>
      <c r="M67" s="140"/>
      <c r="N67" s="137"/>
      <c r="O67" s="137"/>
      <c r="P67" s="137"/>
      <c r="Q67" s="137"/>
      <c r="R67" s="137"/>
    </row>
    <row r="68" spans="2:19" ht="20.5" customHeight="1" x14ac:dyDescent="0.4">
      <c r="B68" s="386" t="s">
        <v>360</v>
      </c>
      <c r="C68" s="387"/>
      <c r="D68" s="387"/>
      <c r="E68" s="387"/>
      <c r="F68" s="388"/>
      <c r="M68" s="140"/>
      <c r="N68" s="137"/>
      <c r="O68" s="137"/>
      <c r="P68" s="137"/>
      <c r="Q68" s="137"/>
      <c r="R68" s="137"/>
    </row>
    <row r="69" spans="2:19" ht="20.5" customHeight="1" x14ac:dyDescent="0.4">
      <c r="B69" s="304" t="s">
        <v>74</v>
      </c>
      <c r="C69" s="305"/>
      <c r="D69" s="305"/>
      <c r="E69" s="305"/>
      <c r="F69" s="305">
        <f>F49+F50+F55</f>
        <v>159876314</v>
      </c>
      <c r="M69" s="140"/>
      <c r="N69" s="137"/>
      <c r="O69" s="137"/>
      <c r="P69" s="137"/>
      <c r="Q69" s="137"/>
      <c r="R69" s="137"/>
    </row>
    <row r="70" spans="2:19" ht="21" x14ac:dyDescent="0.4">
      <c r="B70" s="304" t="s">
        <v>75</v>
      </c>
      <c r="C70" s="305"/>
      <c r="D70" s="305"/>
      <c r="E70" s="305"/>
      <c r="F70" s="305">
        <f>F476+F50+F53</f>
        <v>107207100</v>
      </c>
      <c r="M70" s="140"/>
      <c r="N70" s="137"/>
      <c r="O70" s="137"/>
      <c r="P70" s="137"/>
      <c r="Q70" s="137"/>
      <c r="R70" s="137"/>
    </row>
    <row r="71" spans="2:19" ht="21" x14ac:dyDescent="0.4">
      <c r="B71" s="304" t="s">
        <v>76</v>
      </c>
      <c r="C71" s="305"/>
      <c r="D71" s="305"/>
      <c r="E71" s="305"/>
      <c r="F71" s="305">
        <f>F49+F50+F54</f>
        <v>100748700</v>
      </c>
      <c r="Q71" s="307"/>
      <c r="R71" s="307"/>
    </row>
    <row r="72" spans="2:19" ht="21" x14ac:dyDescent="0.4">
      <c r="B72" s="304" t="s">
        <v>498</v>
      </c>
      <c r="C72" s="305"/>
      <c r="D72" s="305"/>
      <c r="E72" s="305"/>
      <c r="F72" s="305">
        <f>F49+F50+F51</f>
        <v>123701760</v>
      </c>
      <c r="Q72" s="307"/>
      <c r="R72" s="307"/>
    </row>
    <row r="73" spans="2:19" ht="21" x14ac:dyDescent="0.4">
      <c r="B73" s="304" t="s">
        <v>499</v>
      </c>
      <c r="C73" s="305"/>
      <c r="D73" s="305"/>
      <c r="E73" s="305"/>
      <c r="F73" s="305">
        <f>F49+F52+F51</f>
        <v>234945360</v>
      </c>
      <c r="Q73" s="307"/>
      <c r="R73" s="307"/>
    </row>
    <row r="74" spans="2:19" ht="21" x14ac:dyDescent="0.4">
      <c r="B74" s="304" t="s">
        <v>77</v>
      </c>
      <c r="C74" s="305"/>
      <c r="D74" s="305"/>
      <c r="E74" s="305"/>
      <c r="F74" s="305">
        <f>F49+F52+F55</f>
        <v>271119914</v>
      </c>
    </row>
    <row r="75" spans="2:19" ht="21" x14ac:dyDescent="0.4">
      <c r="B75" s="304" t="s">
        <v>78</v>
      </c>
      <c r="C75" s="305"/>
      <c r="D75" s="305"/>
      <c r="E75" s="305"/>
      <c r="F75" s="305">
        <f>F49+F52+F53</f>
        <v>220478700</v>
      </c>
      <c r="M75" s="140"/>
      <c r="N75" s="140"/>
      <c r="O75" s="140"/>
      <c r="S75" s="140"/>
    </row>
    <row r="76" spans="2:19" ht="21" x14ac:dyDescent="0.4">
      <c r="B76" s="304" t="s">
        <v>79</v>
      </c>
      <c r="C76" s="305"/>
      <c r="D76" s="305"/>
      <c r="E76" s="305"/>
      <c r="F76" s="305">
        <f>F49+F52+F54</f>
        <v>211992300</v>
      </c>
      <c r="M76" s="140"/>
      <c r="N76" s="140"/>
      <c r="O76" s="140"/>
      <c r="S76" s="140"/>
    </row>
    <row r="77" spans="2:19" ht="20.5" customHeight="1" x14ac:dyDescent="0.4">
      <c r="M77" s="140"/>
      <c r="N77" s="140"/>
      <c r="O77" s="140"/>
      <c r="S77" s="140"/>
    </row>
    <row r="78" spans="2:19" ht="20.5" customHeight="1" x14ac:dyDescent="0.4">
      <c r="B78" s="384"/>
      <c r="C78" s="380" t="s">
        <v>361</v>
      </c>
      <c r="D78" s="380"/>
      <c r="E78" s="380"/>
      <c r="F78" s="380"/>
      <c r="M78" s="140"/>
      <c r="N78" s="140"/>
      <c r="O78" s="140"/>
      <c r="S78" s="140"/>
    </row>
    <row r="79" spans="2:19" ht="20.5" customHeight="1" x14ac:dyDescent="0.4">
      <c r="B79" s="384"/>
      <c r="C79" s="154" t="s">
        <v>349</v>
      </c>
      <c r="D79" s="154" t="s">
        <v>350</v>
      </c>
      <c r="E79" s="154" t="s">
        <v>351</v>
      </c>
      <c r="F79" s="154" t="s">
        <v>352</v>
      </c>
      <c r="M79" s="140"/>
      <c r="N79" s="140"/>
      <c r="O79" s="140"/>
      <c r="S79" s="140"/>
    </row>
    <row r="80" spans="2:19" x14ac:dyDescent="0.4">
      <c r="B80" s="386" t="s">
        <v>57</v>
      </c>
      <c r="C80" s="387"/>
      <c r="D80" s="387"/>
      <c r="E80" s="387"/>
      <c r="F80" s="388"/>
    </row>
    <row r="81" spans="2:19" ht="21" x14ac:dyDescent="0.4">
      <c r="B81" s="304" t="s">
        <v>313</v>
      </c>
      <c r="C81" s="305">
        <v>58715</v>
      </c>
      <c r="D81" s="305">
        <f>C81*E16</f>
        <v>117430</v>
      </c>
      <c r="E81" s="305">
        <f t="shared" ref="E81:E87" si="35">D81*30</f>
        <v>3522900</v>
      </c>
      <c r="F81" s="305">
        <f t="shared" ref="F81:F87" si="36">E81*13</f>
        <v>45797700</v>
      </c>
      <c r="G81" s="383" t="s">
        <v>362</v>
      </c>
      <c r="M81" s="140"/>
      <c r="N81" s="140"/>
      <c r="O81" s="140"/>
      <c r="S81" s="140"/>
    </row>
    <row r="82" spans="2:19" ht="21" x14ac:dyDescent="0.4">
      <c r="B82" s="304" t="s">
        <v>320</v>
      </c>
      <c r="C82" s="305">
        <v>4833</v>
      </c>
      <c r="D82" s="305">
        <f>C82*E14</f>
        <v>14499</v>
      </c>
      <c r="E82" s="305">
        <f t="shared" si="35"/>
        <v>434970</v>
      </c>
      <c r="F82" s="305">
        <f t="shared" si="36"/>
        <v>5654610</v>
      </c>
      <c r="G82" s="383"/>
      <c r="M82" s="140"/>
      <c r="N82" s="140"/>
      <c r="O82" s="140"/>
      <c r="S82" s="140"/>
    </row>
    <row r="83" spans="2:19" ht="21" x14ac:dyDescent="0.4">
      <c r="B83" s="304" t="s">
        <v>58</v>
      </c>
      <c r="C83" s="305">
        <v>156627</v>
      </c>
      <c r="D83" s="305">
        <f>C83*2</f>
        <v>313254</v>
      </c>
      <c r="E83" s="305">
        <f t="shared" si="35"/>
        <v>9397620</v>
      </c>
      <c r="F83" s="305">
        <f t="shared" si="36"/>
        <v>122169060</v>
      </c>
      <c r="G83" s="383"/>
      <c r="M83" s="140"/>
      <c r="N83" s="140"/>
      <c r="O83" s="140"/>
      <c r="S83" s="140"/>
    </row>
    <row r="84" spans="2:19" ht="21" x14ac:dyDescent="0.4">
      <c r="B84" s="304" t="s">
        <v>59</v>
      </c>
      <c r="C84" s="305">
        <v>133033</v>
      </c>
      <c r="D84" s="305">
        <f>C84*E13</f>
        <v>399099</v>
      </c>
      <c r="E84" s="305">
        <f t="shared" si="35"/>
        <v>11972970</v>
      </c>
      <c r="F84" s="305">
        <f t="shared" si="36"/>
        <v>155648610</v>
      </c>
      <c r="G84" s="383"/>
      <c r="M84" s="140"/>
      <c r="N84" s="140"/>
      <c r="O84" s="140"/>
      <c r="S84" s="140"/>
    </row>
    <row r="85" spans="2:19" ht="21" x14ac:dyDescent="0.4">
      <c r="B85" s="304" t="s">
        <v>60</v>
      </c>
      <c r="C85" s="305">
        <v>164683</v>
      </c>
      <c r="D85" s="305">
        <f>C85*E9</f>
        <v>823415</v>
      </c>
      <c r="E85" s="305">
        <f t="shared" si="35"/>
        <v>24702450</v>
      </c>
      <c r="F85" s="305">
        <f t="shared" si="36"/>
        <v>321131850</v>
      </c>
      <c r="G85" s="383"/>
    </row>
    <row r="86" spans="2:19" ht="21" x14ac:dyDescent="0.4">
      <c r="B86" s="304" t="s">
        <v>332</v>
      </c>
      <c r="C86" s="305">
        <v>107199</v>
      </c>
      <c r="D86" s="305">
        <f>C86*E10</f>
        <v>267997.5</v>
      </c>
      <c r="E86" s="305">
        <f t="shared" si="35"/>
        <v>8039925</v>
      </c>
      <c r="F86" s="305">
        <f t="shared" si="36"/>
        <v>104519025</v>
      </c>
      <c r="G86" s="383"/>
    </row>
    <row r="87" spans="2:19" ht="21" x14ac:dyDescent="0.4">
      <c r="B87" s="304" t="s">
        <v>335</v>
      </c>
      <c r="C87" s="305">
        <v>27538228</v>
      </c>
      <c r="D87" s="305">
        <f>C87*E11</f>
        <v>1835881.8666666667</v>
      </c>
      <c r="E87" s="305">
        <f t="shared" si="35"/>
        <v>55076456</v>
      </c>
      <c r="F87" s="305">
        <f t="shared" si="36"/>
        <v>715993928</v>
      </c>
      <c r="G87" s="383"/>
    </row>
    <row r="88" spans="2:19" x14ac:dyDescent="0.4">
      <c r="B88" s="386" t="s">
        <v>359</v>
      </c>
      <c r="C88" s="387"/>
      <c r="D88" s="387"/>
      <c r="E88" s="387"/>
      <c r="F88" s="388"/>
      <c r="M88" s="140"/>
      <c r="N88" s="140"/>
      <c r="O88" s="140"/>
      <c r="S88" s="140"/>
    </row>
    <row r="89" spans="2:19" ht="21" x14ac:dyDescent="0.4">
      <c r="B89" s="304" t="s">
        <v>63</v>
      </c>
      <c r="C89" s="305"/>
      <c r="D89" s="305"/>
      <c r="E89" s="305"/>
      <c r="F89" s="305">
        <f>F81+F84</f>
        <v>201446310</v>
      </c>
      <c r="M89" s="140"/>
      <c r="N89" s="140"/>
      <c r="O89" s="140"/>
      <c r="S89" s="140"/>
    </row>
    <row r="90" spans="2:19" ht="21" x14ac:dyDescent="0.4">
      <c r="B90" s="304" t="s">
        <v>64</v>
      </c>
      <c r="C90" s="305"/>
      <c r="D90" s="305"/>
      <c r="E90" s="305"/>
      <c r="F90" s="305">
        <f>F81+F83</f>
        <v>167966760</v>
      </c>
      <c r="M90" s="140"/>
      <c r="N90" s="140"/>
      <c r="O90" s="140"/>
      <c r="S90" s="140"/>
    </row>
    <row r="91" spans="2:19" ht="21" x14ac:dyDescent="0.4">
      <c r="B91" s="304" t="s">
        <v>65</v>
      </c>
      <c r="C91" s="305"/>
      <c r="D91" s="305"/>
      <c r="E91" s="305"/>
      <c r="F91" s="305">
        <f>F82+F83</f>
        <v>127823670</v>
      </c>
      <c r="M91" s="140"/>
      <c r="N91" s="140"/>
      <c r="O91" s="140"/>
      <c r="S91" s="140"/>
    </row>
    <row r="92" spans="2:19" ht="21" x14ac:dyDescent="0.4">
      <c r="B92" s="304" t="s">
        <v>66</v>
      </c>
      <c r="C92" s="305"/>
      <c r="D92" s="305"/>
      <c r="E92" s="305"/>
      <c r="F92" s="305">
        <f>F81+F82</f>
        <v>51452310</v>
      </c>
      <c r="M92" s="140"/>
      <c r="N92" s="140"/>
      <c r="O92" s="140"/>
      <c r="S92" s="140"/>
    </row>
    <row r="93" spans="2:19" ht="21" x14ac:dyDescent="0.4">
      <c r="B93" s="304" t="s">
        <v>67</v>
      </c>
      <c r="C93" s="305"/>
      <c r="D93" s="305"/>
      <c r="E93" s="305"/>
      <c r="F93" s="305">
        <f>F81+F86</f>
        <v>150316725</v>
      </c>
      <c r="M93" s="140"/>
      <c r="N93" s="140"/>
      <c r="O93" s="140"/>
      <c r="S93" s="140"/>
    </row>
    <row r="94" spans="2:19" ht="21" x14ac:dyDescent="0.4">
      <c r="B94" s="304" t="s">
        <v>68</v>
      </c>
      <c r="C94" s="305"/>
      <c r="D94" s="305"/>
      <c r="E94" s="305"/>
      <c r="F94" s="305">
        <f>F81+F85</f>
        <v>366929550</v>
      </c>
      <c r="M94" s="140"/>
      <c r="N94" s="140"/>
      <c r="O94" s="140"/>
      <c r="S94" s="140"/>
    </row>
    <row r="95" spans="2:19" ht="21" x14ac:dyDescent="0.4">
      <c r="B95" s="304" t="s">
        <v>363</v>
      </c>
      <c r="C95" s="305"/>
      <c r="D95" s="305"/>
      <c r="E95" s="305"/>
      <c r="F95" s="305">
        <f>F81+F87</f>
        <v>761791628</v>
      </c>
      <c r="M95" s="140"/>
      <c r="N95" s="140"/>
      <c r="O95" s="140"/>
      <c r="S95" s="140"/>
    </row>
    <row r="96" spans="2:19" ht="20.5" customHeight="1" x14ac:dyDescent="0.4">
      <c r="B96" s="304" t="s">
        <v>497</v>
      </c>
      <c r="C96" s="305"/>
      <c r="D96" s="305"/>
      <c r="E96" s="305"/>
      <c r="F96" s="305">
        <f>F84+F83</f>
        <v>277817670</v>
      </c>
      <c r="M96" s="140"/>
      <c r="N96" s="137"/>
      <c r="O96" s="137"/>
      <c r="P96" s="137"/>
      <c r="Q96" s="137"/>
      <c r="R96" s="137"/>
    </row>
    <row r="97" spans="2:19" ht="21" x14ac:dyDescent="0.4">
      <c r="B97" s="304" t="s">
        <v>70</v>
      </c>
      <c r="C97" s="305"/>
      <c r="D97" s="305"/>
      <c r="E97" s="305"/>
      <c r="F97" s="305">
        <f>F84+F86</f>
        <v>260167635</v>
      </c>
      <c r="M97" s="140"/>
      <c r="N97" s="140"/>
      <c r="O97" s="140"/>
      <c r="S97" s="140"/>
    </row>
    <row r="98" spans="2:19" ht="21" x14ac:dyDescent="0.4">
      <c r="B98" s="304" t="s">
        <v>71</v>
      </c>
      <c r="C98" s="305"/>
      <c r="D98" s="305"/>
      <c r="E98" s="305"/>
      <c r="F98" s="305">
        <f>F84+F85</f>
        <v>476780460</v>
      </c>
      <c r="M98" s="140"/>
      <c r="N98" s="140"/>
      <c r="O98" s="140"/>
      <c r="S98" s="140"/>
    </row>
    <row r="99" spans="2:19" ht="21" x14ac:dyDescent="0.4">
      <c r="B99" s="304" t="s">
        <v>72</v>
      </c>
      <c r="C99" s="305"/>
      <c r="D99" s="305"/>
      <c r="E99" s="305"/>
      <c r="F99" s="305">
        <f>F84+F87</f>
        <v>871642538</v>
      </c>
      <c r="M99" s="140"/>
      <c r="N99" s="140"/>
      <c r="O99" s="140"/>
      <c r="S99" s="140"/>
    </row>
    <row r="100" spans="2:19" x14ac:dyDescent="0.4">
      <c r="B100" s="386" t="s">
        <v>360</v>
      </c>
      <c r="C100" s="387"/>
      <c r="D100" s="387"/>
      <c r="E100" s="387"/>
      <c r="F100" s="388"/>
    </row>
    <row r="101" spans="2:19" ht="21" x14ac:dyDescent="0.4">
      <c r="B101" s="304" t="s">
        <v>74</v>
      </c>
      <c r="C101" s="305"/>
      <c r="D101" s="305"/>
      <c r="E101" s="305"/>
      <c r="F101" s="305">
        <f>F81+F82+F87</f>
        <v>767446238</v>
      </c>
    </row>
    <row r="102" spans="2:19" ht="21" x14ac:dyDescent="0.4">
      <c r="B102" s="304" t="s">
        <v>75</v>
      </c>
      <c r="C102" s="305"/>
      <c r="D102" s="305"/>
      <c r="E102" s="305"/>
      <c r="F102" s="305">
        <f>F508+F82+F85</f>
        <v>326786460</v>
      </c>
    </row>
    <row r="103" spans="2:19" ht="21" x14ac:dyDescent="0.4">
      <c r="B103" s="304" t="s">
        <v>76</v>
      </c>
      <c r="C103" s="305"/>
      <c r="D103" s="305"/>
      <c r="E103" s="305"/>
      <c r="F103" s="305">
        <f>F81+F82+F86</f>
        <v>155971335</v>
      </c>
    </row>
    <row r="104" spans="2:19" ht="21" x14ac:dyDescent="0.4">
      <c r="B104" s="304" t="s">
        <v>498</v>
      </c>
      <c r="C104" s="305"/>
      <c r="D104" s="305"/>
      <c r="E104" s="305"/>
      <c r="F104" s="305">
        <f>F81+F82+F83</f>
        <v>173621370</v>
      </c>
      <c r="Q104" s="307"/>
      <c r="R104" s="307"/>
    </row>
    <row r="105" spans="2:19" ht="21" x14ac:dyDescent="0.4">
      <c r="B105" s="304" t="s">
        <v>499</v>
      </c>
      <c r="C105" s="305"/>
      <c r="D105" s="305"/>
      <c r="E105" s="305"/>
      <c r="F105" s="305">
        <f>F81+F84+F83</f>
        <v>323615370</v>
      </c>
      <c r="Q105" s="307"/>
      <c r="R105" s="307"/>
    </row>
    <row r="106" spans="2:19" ht="21" x14ac:dyDescent="0.4">
      <c r="B106" s="304" t="s">
        <v>77</v>
      </c>
      <c r="C106" s="305"/>
      <c r="D106" s="305"/>
      <c r="E106" s="305"/>
      <c r="F106" s="305">
        <f>F81+F84+F87</f>
        <v>917440238</v>
      </c>
    </row>
    <row r="107" spans="2:19" ht="21" x14ac:dyDescent="0.4">
      <c r="B107" s="304" t="s">
        <v>78</v>
      </c>
      <c r="C107" s="305"/>
      <c r="D107" s="305"/>
      <c r="E107" s="305"/>
      <c r="F107" s="305">
        <f>F81+F84+F85</f>
        <v>522578160</v>
      </c>
    </row>
    <row r="108" spans="2:19" ht="21" x14ac:dyDescent="0.4">
      <c r="B108" s="304" t="s">
        <v>79</v>
      </c>
      <c r="C108" s="305"/>
      <c r="D108" s="305"/>
      <c r="E108" s="305"/>
      <c r="F108" s="305">
        <f>F81+F84+F86</f>
        <v>305965335</v>
      </c>
    </row>
    <row r="109" spans="2:19" x14ac:dyDescent="0.4"/>
    <row r="110" spans="2:19" x14ac:dyDescent="0.4">
      <c r="B110" s="384"/>
      <c r="C110" s="380" t="s">
        <v>364</v>
      </c>
      <c r="D110" s="380"/>
      <c r="E110" s="380"/>
      <c r="F110" s="380"/>
    </row>
    <row r="111" spans="2:19" x14ac:dyDescent="0.4">
      <c r="B111" s="384"/>
      <c r="C111" s="154" t="s">
        <v>349</v>
      </c>
      <c r="D111" s="154" t="s">
        <v>350</v>
      </c>
      <c r="E111" s="154" t="s">
        <v>351</v>
      </c>
      <c r="F111" s="154" t="s">
        <v>352</v>
      </c>
    </row>
    <row r="112" spans="2:19" x14ac:dyDescent="0.4">
      <c r="B112" s="386" t="s">
        <v>57</v>
      </c>
      <c r="C112" s="387"/>
      <c r="D112" s="387"/>
      <c r="E112" s="387"/>
      <c r="F112" s="388"/>
    </row>
    <row r="113" spans="2:7" ht="40" x14ac:dyDescent="0.4">
      <c r="B113" s="304" t="s">
        <v>313</v>
      </c>
      <c r="C113" s="305">
        <v>340000</v>
      </c>
      <c r="D113" s="305">
        <f>C113*E16</f>
        <v>680000</v>
      </c>
      <c r="E113" s="305">
        <f t="shared" ref="E113:E119" si="37">D113*30</f>
        <v>20400000</v>
      </c>
      <c r="F113" s="305">
        <f t="shared" ref="F113:F119" si="38">E113*13</f>
        <v>265200000</v>
      </c>
      <c r="G113" s="140" t="s">
        <v>365</v>
      </c>
    </row>
    <row r="114" spans="2:7" ht="40" x14ac:dyDescent="0.4">
      <c r="B114" s="304" t="s">
        <v>320</v>
      </c>
      <c r="C114" s="305">
        <v>286430</v>
      </c>
      <c r="D114" s="305">
        <f>C114*E15</f>
        <v>572860</v>
      </c>
      <c r="E114" s="305">
        <f t="shared" si="37"/>
        <v>17185800</v>
      </c>
      <c r="F114" s="305">
        <f t="shared" si="38"/>
        <v>223415400</v>
      </c>
      <c r="G114" s="140" t="s">
        <v>366</v>
      </c>
    </row>
    <row r="115" spans="2:7" ht="40" x14ac:dyDescent="0.4">
      <c r="B115" s="304" t="s">
        <v>58</v>
      </c>
      <c r="C115" s="305">
        <v>163603</v>
      </c>
      <c r="D115" s="305">
        <f>C115*2</f>
        <v>327206</v>
      </c>
      <c r="E115" s="305">
        <f t="shared" si="37"/>
        <v>9816180</v>
      </c>
      <c r="F115" s="305">
        <f t="shared" si="38"/>
        <v>127610340</v>
      </c>
      <c r="G115" s="140" t="s">
        <v>367</v>
      </c>
    </row>
    <row r="116" spans="2:7" ht="40" x14ac:dyDescent="0.4">
      <c r="B116" s="304" t="s">
        <v>59</v>
      </c>
      <c r="C116" s="305">
        <v>137711</v>
      </c>
      <c r="D116" s="305">
        <f>C116*E13</f>
        <v>413133</v>
      </c>
      <c r="E116" s="305">
        <f t="shared" si="37"/>
        <v>12393990</v>
      </c>
      <c r="F116" s="305">
        <f t="shared" si="38"/>
        <v>161121870</v>
      </c>
      <c r="G116" s="140" t="s">
        <v>368</v>
      </c>
    </row>
    <row r="117" spans="2:7" ht="40" x14ac:dyDescent="0.4">
      <c r="B117" s="304" t="s">
        <v>60</v>
      </c>
      <c r="C117" s="305">
        <v>324755</v>
      </c>
      <c r="D117" s="305">
        <f>C117*E9</f>
        <v>1623775</v>
      </c>
      <c r="E117" s="305">
        <f t="shared" si="37"/>
        <v>48713250</v>
      </c>
      <c r="F117" s="305">
        <f t="shared" si="38"/>
        <v>633272250</v>
      </c>
      <c r="G117" s="140" t="s">
        <v>369</v>
      </c>
    </row>
    <row r="118" spans="2:7" ht="40" x14ac:dyDescent="0.4">
      <c r="B118" s="304" t="s">
        <v>332</v>
      </c>
      <c r="C118" s="305">
        <v>113290</v>
      </c>
      <c r="D118" s="305">
        <f>C118*E10</f>
        <v>283225</v>
      </c>
      <c r="E118" s="305">
        <f t="shared" si="37"/>
        <v>8496750</v>
      </c>
      <c r="F118" s="305">
        <f t="shared" si="38"/>
        <v>110457750</v>
      </c>
      <c r="G118" s="140" t="s">
        <v>370</v>
      </c>
    </row>
    <row r="119" spans="2:7" ht="60" x14ac:dyDescent="0.4">
      <c r="B119" s="304" t="s">
        <v>335</v>
      </c>
      <c r="C119" s="305">
        <f>60656890/2</f>
        <v>30328445</v>
      </c>
      <c r="D119" s="305">
        <f>C119*E11</f>
        <v>2021896.3333333333</v>
      </c>
      <c r="E119" s="305">
        <f t="shared" si="37"/>
        <v>60656890</v>
      </c>
      <c r="F119" s="305">
        <f t="shared" si="38"/>
        <v>788539570</v>
      </c>
      <c r="G119" s="140" t="s">
        <v>371</v>
      </c>
    </row>
    <row r="120" spans="2:7" x14ac:dyDescent="0.4">
      <c r="B120" s="386" t="s">
        <v>359</v>
      </c>
      <c r="C120" s="387"/>
      <c r="D120" s="387"/>
      <c r="E120" s="387"/>
      <c r="F120" s="388"/>
    </row>
    <row r="121" spans="2:7" ht="21" x14ac:dyDescent="0.4">
      <c r="B121" s="304" t="s">
        <v>63</v>
      </c>
      <c r="C121" s="305"/>
      <c r="D121" s="305"/>
      <c r="E121" s="305"/>
      <c r="F121" s="305">
        <f>F113+F116</f>
        <v>426321870</v>
      </c>
    </row>
    <row r="122" spans="2:7" ht="21" x14ac:dyDescent="0.4">
      <c r="B122" s="304" t="s">
        <v>64</v>
      </c>
      <c r="C122" s="305"/>
      <c r="D122" s="305"/>
      <c r="E122" s="305"/>
      <c r="F122" s="305">
        <f>F113+F115</f>
        <v>392810340</v>
      </c>
    </row>
    <row r="123" spans="2:7" ht="21" x14ac:dyDescent="0.4">
      <c r="B123" s="304" t="s">
        <v>65</v>
      </c>
      <c r="C123" s="305"/>
      <c r="D123" s="305"/>
      <c r="E123" s="305"/>
      <c r="F123" s="305">
        <f>F114+F115</f>
        <v>351025740</v>
      </c>
    </row>
    <row r="124" spans="2:7" ht="21" x14ac:dyDescent="0.4">
      <c r="B124" s="304" t="s">
        <v>66</v>
      </c>
      <c r="C124" s="305"/>
      <c r="D124" s="305"/>
      <c r="E124" s="305"/>
      <c r="F124" s="305">
        <f>F113+F114</f>
        <v>488615400</v>
      </c>
    </row>
    <row r="125" spans="2:7" ht="21" x14ac:dyDescent="0.4">
      <c r="B125" s="304" t="s">
        <v>67</v>
      </c>
      <c r="C125" s="305"/>
      <c r="D125" s="305"/>
      <c r="E125" s="305"/>
      <c r="F125" s="305">
        <f>F113+F118</f>
        <v>375657750</v>
      </c>
    </row>
    <row r="126" spans="2:7" ht="21" x14ac:dyDescent="0.4">
      <c r="B126" s="304" t="s">
        <v>68</v>
      </c>
      <c r="C126" s="305"/>
      <c r="D126" s="305"/>
      <c r="E126" s="305"/>
      <c r="F126" s="305">
        <f>F113+F117</f>
        <v>898472250</v>
      </c>
    </row>
    <row r="127" spans="2:7" ht="21" x14ac:dyDescent="0.4">
      <c r="B127" s="304" t="s">
        <v>363</v>
      </c>
      <c r="C127" s="305"/>
      <c r="D127" s="305"/>
      <c r="E127" s="305"/>
      <c r="F127" s="305">
        <f>F113+F119</f>
        <v>1053739570</v>
      </c>
    </row>
    <row r="128" spans="2:7" ht="21" x14ac:dyDescent="0.4">
      <c r="B128" s="304" t="s">
        <v>70</v>
      </c>
      <c r="C128" s="305"/>
      <c r="D128" s="305"/>
      <c r="E128" s="305"/>
      <c r="F128" s="305">
        <f>F116+F118</f>
        <v>271579620</v>
      </c>
    </row>
    <row r="129" spans="2:18" ht="21" x14ac:dyDescent="0.4">
      <c r="B129" s="304" t="s">
        <v>71</v>
      </c>
      <c r="C129" s="305"/>
      <c r="D129" s="305"/>
      <c r="E129" s="305"/>
      <c r="F129" s="305">
        <f>F116+F117</f>
        <v>794394120</v>
      </c>
    </row>
    <row r="130" spans="2:18" ht="21" x14ac:dyDescent="0.4">
      <c r="B130" s="304" t="s">
        <v>72</v>
      </c>
      <c r="C130" s="305"/>
      <c r="D130" s="305"/>
      <c r="E130" s="305"/>
      <c r="F130" s="305">
        <f>F116+F119</f>
        <v>949661440</v>
      </c>
    </row>
    <row r="131" spans="2:18" x14ac:dyDescent="0.4">
      <c r="B131" s="386" t="s">
        <v>360</v>
      </c>
      <c r="C131" s="387"/>
      <c r="D131" s="387"/>
      <c r="E131" s="387"/>
      <c r="F131" s="388"/>
    </row>
    <row r="132" spans="2:18" ht="21" x14ac:dyDescent="0.4">
      <c r="B132" s="304" t="s">
        <v>74</v>
      </c>
      <c r="C132" s="305"/>
      <c r="D132" s="305"/>
      <c r="E132" s="305"/>
      <c r="F132" s="305">
        <f>F113+F114+F119</f>
        <v>1277154970</v>
      </c>
    </row>
    <row r="133" spans="2:18" ht="21" x14ac:dyDescent="0.4">
      <c r="B133" s="304" t="s">
        <v>75</v>
      </c>
      <c r="C133" s="305"/>
      <c r="D133" s="305"/>
      <c r="E133" s="305"/>
      <c r="F133" s="305">
        <f>F540+F114+F117</f>
        <v>856687650</v>
      </c>
    </row>
    <row r="134" spans="2:18" ht="21" x14ac:dyDescent="0.4">
      <c r="B134" s="304" t="s">
        <v>76</v>
      </c>
      <c r="C134" s="305"/>
      <c r="D134" s="305"/>
      <c r="E134" s="305"/>
      <c r="F134" s="305">
        <f>F113+F114+F118</f>
        <v>599073150</v>
      </c>
    </row>
    <row r="135" spans="2:18" ht="21" x14ac:dyDescent="0.4">
      <c r="B135" s="304" t="s">
        <v>498</v>
      </c>
      <c r="C135" s="305"/>
      <c r="D135" s="305"/>
      <c r="E135" s="305"/>
      <c r="F135" s="305">
        <f>F112+F113+F114</f>
        <v>488615400</v>
      </c>
      <c r="Q135" s="307"/>
      <c r="R135" s="307"/>
    </row>
    <row r="136" spans="2:18" ht="21" x14ac:dyDescent="0.4">
      <c r="B136" s="304" t="s">
        <v>499</v>
      </c>
      <c r="C136" s="305"/>
      <c r="D136" s="305"/>
      <c r="E136" s="305"/>
      <c r="F136" s="305">
        <f>F112+F115+F114</f>
        <v>351025740</v>
      </c>
      <c r="Q136" s="307"/>
      <c r="R136" s="307"/>
    </row>
    <row r="137" spans="2:18" ht="21" x14ac:dyDescent="0.4">
      <c r="B137" s="304" t="s">
        <v>77</v>
      </c>
      <c r="C137" s="305"/>
      <c r="D137" s="305"/>
      <c r="E137" s="305"/>
      <c r="F137" s="305">
        <f>F113+F116+F119</f>
        <v>1214861440</v>
      </c>
    </row>
    <row r="138" spans="2:18" ht="21" x14ac:dyDescent="0.4">
      <c r="B138" s="304" t="s">
        <v>78</v>
      </c>
      <c r="C138" s="305"/>
      <c r="D138" s="305"/>
      <c r="E138" s="305"/>
      <c r="F138" s="305">
        <f>F113+F116+F117</f>
        <v>1059594120</v>
      </c>
    </row>
    <row r="139" spans="2:18" ht="21" x14ac:dyDescent="0.4">
      <c r="B139" s="304" t="s">
        <v>79</v>
      </c>
      <c r="C139" s="305"/>
      <c r="D139" s="305"/>
      <c r="E139" s="305"/>
      <c r="F139" s="305">
        <f>F113+F116+F118</f>
        <v>536779620</v>
      </c>
    </row>
    <row r="140" spans="2:18" x14ac:dyDescent="0.4"/>
    <row r="141" spans="2:18" x14ac:dyDescent="0.4"/>
  </sheetData>
  <mergeCells count="22">
    <mergeCell ref="G81:G87"/>
    <mergeCell ref="B46:B47"/>
    <mergeCell ref="B21:F21"/>
    <mergeCell ref="B131:F131"/>
    <mergeCell ref="B120:F120"/>
    <mergeCell ref="B112:F112"/>
    <mergeCell ref="B80:F80"/>
    <mergeCell ref="B88:F88"/>
    <mergeCell ref="B100:F100"/>
    <mergeCell ref="B68:F68"/>
    <mergeCell ref="B56:F56"/>
    <mergeCell ref="B48:F48"/>
    <mergeCell ref="B78:B79"/>
    <mergeCell ref="C78:F78"/>
    <mergeCell ref="B110:B111"/>
    <mergeCell ref="C110:F110"/>
    <mergeCell ref="C46:F46"/>
    <mergeCell ref="X7:Z7"/>
    <mergeCell ref="AC7:AE7"/>
    <mergeCell ref="G25:H25"/>
    <mergeCell ref="Q10:Q16"/>
    <mergeCell ref="S7:U7"/>
  </mergeCells>
  <pageMargins left="0.7" right="0.7" top="0.75" bottom="0.75" header="0.3" footer="0.3"/>
  <pageSetup paperSize="9" orientation="portrait" horizontalDpi="360" verticalDpi="360" r:id="rId1"/>
  <headerFooter>
    <oddFooter>&amp;R_x000D_&amp;1#&amp;"Calibri"&amp;22&amp;KFF8939 RESTRICTED</oddFooter>
  </headerFooter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559ADEDEFD2777449A9296B5B8786BDF" ma:contentTypeVersion="4" ma:contentTypeDescription="Crear nuevo documento." ma:contentTypeScope="" ma:versionID="fe6d219fd232a6ef1354f15688b4bd23">
  <xsd:schema xmlns:xsd="http://www.w3.org/2001/XMLSchema" xmlns:xs="http://www.w3.org/2001/XMLSchema" xmlns:p="http://schemas.microsoft.com/office/2006/metadata/properties" xmlns:ns2="14ac6d03-46cc-4b34-a37a-c691758e716b" targetNamespace="http://schemas.microsoft.com/office/2006/metadata/properties" ma:root="true" ma:fieldsID="6997e462ec100b3282d0165dee2e0b9d" ns2:_="">
    <xsd:import namespace="14ac6d03-46cc-4b34-a37a-c691758e716b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SearchProperties" minOccurs="0"/>
                <xsd:element ref="ns2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4ac6d03-46cc-4b34-a37a-c691758e716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SearchProperties" ma:index="10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ni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98D7352D-82A1-4003-AB9F-A7C4FC76CC02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89161D25-AD78-4783-9197-AF3EA3331C84}">
  <ds:schemaRefs>
    <ds:schemaRef ds:uri="http://schemas.microsoft.com/office/2006/documentManagement/types"/>
    <ds:schemaRef ds:uri="http://schemas.openxmlformats.org/package/2006/metadata/core-properties"/>
    <ds:schemaRef ds:uri="14ac6d03-46cc-4b34-a37a-c691758e716b"/>
    <ds:schemaRef ds:uri="http://purl.org/dc/elements/1.1/"/>
    <ds:schemaRef ds:uri="http://schemas.microsoft.com/office/2006/metadata/properties"/>
    <ds:schemaRef ds:uri="http://purl.org/dc/terms/"/>
    <ds:schemaRef ds:uri="http://www.w3.org/XML/1998/namespace"/>
    <ds:schemaRef ds:uri="http://schemas.microsoft.com/office/infopath/2007/PartnerControls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CB583939-CFC4-4A15-A5B6-94209042B539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14ac6d03-46cc-4b34-a37a-c691758e716b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21</vt:i4>
      </vt:variant>
      <vt:variant>
        <vt:lpstr>Rangos con nombre</vt:lpstr>
      </vt:variant>
      <vt:variant>
        <vt:i4>1</vt:i4>
      </vt:variant>
    </vt:vector>
  </HeadingPairs>
  <TitlesOfParts>
    <vt:vector size="22" baseType="lpstr">
      <vt:lpstr>Portada</vt:lpstr>
      <vt:lpstr>Instrucciones</vt:lpstr>
      <vt:lpstr>Metodología</vt:lpstr>
      <vt:lpstr>Input</vt:lpstr>
      <vt:lpstr>Input-Ponderador riesgo</vt:lpstr>
      <vt:lpstr>Costos procedimiento</vt:lpstr>
      <vt:lpstr>Input-Costos procedimientos</vt:lpstr>
      <vt:lpstr>Input-Costo complicaciones</vt:lpstr>
      <vt:lpstr>Input-Costos tecnologías</vt:lpstr>
      <vt:lpstr>Input-Costos tecnologías comple</vt:lpstr>
      <vt:lpstr>Combinaciones</vt:lpstr>
      <vt:lpstr>Formulario costos proced Oculta</vt:lpstr>
      <vt:lpstr>Costos directos procedimien (2)</vt:lpstr>
      <vt:lpstr>Costos directos procedimientos</vt:lpstr>
      <vt:lpstr>Formulario costos drugs</vt:lpstr>
      <vt:lpstr>Resultados Costo enfermedad</vt:lpstr>
      <vt:lpstr>Factores modificadores</vt:lpstr>
      <vt:lpstr>Resultado Modelo ajustado</vt:lpstr>
      <vt:lpstr>Costos otros tratamientos</vt:lpstr>
      <vt:lpstr>Conclusiones</vt:lpstr>
      <vt:lpstr>Ficha técnica</vt:lpstr>
      <vt:lpstr>Portada!Área_de_impresión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Claudia Alejandra Lopez</dc:creator>
  <cp:keywords/>
  <dc:description/>
  <cp:lastModifiedBy>ÜLA - Vanessa Contreras</cp:lastModifiedBy>
  <cp:revision/>
  <dcterms:created xsi:type="dcterms:W3CDTF">2023-03-28T14:52:53Z</dcterms:created>
  <dcterms:modified xsi:type="dcterms:W3CDTF">2024-06-12T20:33:20Z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2c76c141-ac86-40e5-abf2-c6f60e474cee_Enabled">
    <vt:lpwstr>true</vt:lpwstr>
  </property>
  <property fmtid="{D5CDD505-2E9C-101B-9397-08002B2CF9AE}" pid="3" name="MSIP_Label_2c76c141-ac86-40e5-abf2-c6f60e474cee_SetDate">
    <vt:lpwstr>2023-03-28T16:19:52Z</vt:lpwstr>
  </property>
  <property fmtid="{D5CDD505-2E9C-101B-9397-08002B2CF9AE}" pid="4" name="MSIP_Label_2c76c141-ac86-40e5-abf2-c6f60e474cee_Method">
    <vt:lpwstr>Privileged</vt:lpwstr>
  </property>
  <property fmtid="{D5CDD505-2E9C-101B-9397-08002B2CF9AE}" pid="5" name="MSIP_Label_2c76c141-ac86-40e5-abf2-c6f60e474cee_Name">
    <vt:lpwstr>2c76c141-ac86-40e5-abf2-c6f60e474cee</vt:lpwstr>
  </property>
  <property fmtid="{D5CDD505-2E9C-101B-9397-08002B2CF9AE}" pid="6" name="MSIP_Label_2c76c141-ac86-40e5-abf2-c6f60e474cee_SiteId">
    <vt:lpwstr>fcb2b37b-5da0-466b-9b83-0014b67a7c78</vt:lpwstr>
  </property>
  <property fmtid="{D5CDD505-2E9C-101B-9397-08002B2CF9AE}" pid="7" name="MSIP_Label_2c76c141-ac86-40e5-abf2-c6f60e474cee_ActionId">
    <vt:lpwstr>4dda4c22-bafa-4afb-b958-3a15058c5aaf</vt:lpwstr>
  </property>
  <property fmtid="{D5CDD505-2E9C-101B-9397-08002B2CF9AE}" pid="8" name="MSIP_Label_2c76c141-ac86-40e5-abf2-c6f60e474cee_ContentBits">
    <vt:lpwstr>2</vt:lpwstr>
  </property>
  <property fmtid="{D5CDD505-2E9C-101B-9397-08002B2CF9AE}" pid="9" name="ContentTypeId">
    <vt:lpwstr>0x010100559ADEDEFD2777449A9296B5B8786BDF</vt:lpwstr>
  </property>
</Properties>
</file>